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7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8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180" windowWidth="13920" windowHeight="10470" firstSheet="15" activeTab="20"/>
  </bookViews>
  <sheets>
    <sheet name="CAPEX UC (Original)" sheetId="50" r:id="rId1"/>
    <sheet name="TRM" sheetId="49" r:id="rId2"/>
    <sheet name="IPP" sheetId="48" r:id="rId3"/>
    <sheet name="VRN" sheetId="47" r:id="rId4"/>
    <sheet name="ACTUALMENTE" sheetId="1" r:id="rId5"/>
    <sheet name="Financiacion ACTUALMENTE" sheetId="6" r:id="rId6"/>
    <sheet name="Dep y Dif ACTUALMENTE" sheetId="2" r:id="rId7"/>
    <sheet name="REEMPLAZO" sheetId="29" r:id="rId8"/>
    <sheet name="Financiacion REEMPLAZO" sheetId="41" r:id="rId9"/>
    <sheet name="Dep y Dif REEMPLAZO" sheetId="43" r:id="rId10"/>
    <sheet name="REFURBISHMENT" sheetId="28" r:id="rId11"/>
    <sheet name="_@RISKFitInformation" sheetId="36" state="hidden" r:id="rId12"/>
    <sheet name="Financiacion REFURBISHMENT" sheetId="45" r:id="rId13"/>
    <sheet name="Dep y Dif REFURBISHMENT" sheetId="46" r:id="rId14"/>
    <sheet name="F de CP" sheetId="3" r:id="rId15"/>
    <sheet name="Ingresos&amp;Compensaciones" sheetId="12" r:id="rId16"/>
    <sheet name="CAPEX UC" sheetId="20" r:id="rId17"/>
    <sheet name="Refurbishment SVC" sheetId="21" r:id="rId18"/>
    <sheet name="Resumen de escenario 4" sheetId="39" r:id="rId19"/>
    <sheet name="Abreviaturas" sheetId="9" r:id="rId20"/>
    <sheet name="Hoja1" sheetId="51" r:id="rId21"/>
    <sheet name="Hoja2" sheetId="52" r:id="rId22"/>
    <sheet name="Hoja3" sheetId="53" r:id="rId23"/>
    <sheet name="Hoja4" sheetId="54" r:id="rId24"/>
    <sheet name="Hoja5" sheetId="55" r:id="rId25"/>
    <sheet name="Hoja6" sheetId="56" r:id="rId26"/>
  </sheets>
  <definedNames>
    <definedName name="_AtRisk_FitDataRange_FIT_36F74_F2C76" hidden="1">'Ingresos&amp;Compensaciones'!$B$26:$B$36</definedName>
    <definedName name="_AtRisk_FitDataRange_FIT_AE6D0_8C8CD" hidden="1">'Ingresos&amp;Compensaciones'!$N$26:$N$36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5" hidden="1">'Ingresos&amp;Compensaciones'!$X$27:$Y$168</definedName>
    <definedName name="_xlnm._FilterDatabase" localSheetId="17" hidden="1">'Refurbishment SVC'!#REF!</definedName>
    <definedName name="A" localSheetId="0">#REF!</definedName>
    <definedName name="A" localSheetId="9">#REF!</definedName>
    <definedName name="A" localSheetId="13">#REF!</definedName>
    <definedName name="A" localSheetId="8">#REF!</definedName>
    <definedName name="A" localSheetId="12">#REF!</definedName>
    <definedName name="A" localSheetId="7">#REF!</definedName>
    <definedName name="A" localSheetId="10">#REF!</definedName>
    <definedName name="A">#REF!</definedName>
    <definedName name="adsfasdf" localSheetId="0">#REF!</definedName>
    <definedName name="adsfasdf" localSheetId="9">#REF!</definedName>
    <definedName name="adsfasdf" localSheetId="13">#REF!</definedName>
    <definedName name="adsfasdf" localSheetId="8">#REF!</definedName>
    <definedName name="adsfasdf" localSheetId="12">#REF!</definedName>
    <definedName name="adsfasdf">#REF!</definedName>
    <definedName name="_xlnm.Print_Area" localSheetId="4">ACTUALMENTE!$A$65:$I$106</definedName>
    <definedName name="_xlnm.Print_Area" localSheetId="16">'CAPEX UC'!$A$1:$B$56</definedName>
    <definedName name="_xlnm.Print_Area" localSheetId="0">'CAPEX UC (Original)'!$A$1:$B$56</definedName>
    <definedName name="_xlnm.Print_Area" localSheetId="9">'Dep y Dif REEMPLAZO'!$A$1:$AS$48</definedName>
    <definedName name="_xlnm.Print_Area" localSheetId="13">'Dep y Dif REFURBISHMENT'!$A$20:$AH$41</definedName>
    <definedName name="_xlnm.Print_Area" localSheetId="14">'F de CP'!$A$4:$BB$40</definedName>
    <definedName name="_xlnm.Print_Area" localSheetId="5">'Financiacion ACTUALMENTE'!$A$1:$AG$34</definedName>
    <definedName name="_xlnm.Print_Area" localSheetId="8">'Financiacion REEMPLAZO'!$A$1:$AT$38</definedName>
    <definedName name="_xlnm.Print_Area" localSheetId="12">'Financiacion REFURBISHMENT'!$A$1:$AT$38</definedName>
    <definedName name="_xlnm.Print_Area" localSheetId="15">'Ingresos&amp;Compensaciones'!$A$118:$N$170</definedName>
    <definedName name="_xlnm.Print_Area" localSheetId="2">IPP!$A$1:$AW$18</definedName>
    <definedName name="_xlnm.Print_Area" localSheetId="7">REEMPLAZO!$A$65:$I$106</definedName>
    <definedName name="_xlnm.Print_Area" localSheetId="17">'Refurbishment SVC'!$B$1:$E$55</definedName>
    <definedName name="_xlnm.Print_Area" localSheetId="18">'Resumen de escenario 4'!$B$1:$M$12</definedName>
    <definedName name="_xlnm.Print_Area" localSheetId="1">TRM!$A$1:$C$72</definedName>
    <definedName name="asdfasdf" localSheetId="0">#REF!</definedName>
    <definedName name="asdfasdf" localSheetId="9">#REF!</definedName>
    <definedName name="asdfasdf" localSheetId="13">#REF!</definedName>
    <definedName name="asdfasdf" localSheetId="8">#REF!</definedName>
    <definedName name="asdfasdf" localSheetId="12">#REF!</definedName>
    <definedName name="asdfasdf">#REF!</definedName>
    <definedName name="B" localSheetId="0">#REF!</definedName>
    <definedName name="B" localSheetId="9">#REF!</definedName>
    <definedName name="B" localSheetId="13">#REF!</definedName>
    <definedName name="B" localSheetId="8">#REF!</definedName>
    <definedName name="B" localSheetId="12">#REF!</definedName>
    <definedName name="B" localSheetId="7">#REF!</definedName>
    <definedName name="B" localSheetId="10">#REF!</definedName>
    <definedName name="B">#REF!</definedName>
    <definedName name="CAPITAL_RESERVA" localSheetId="0">#REF!</definedName>
    <definedName name="CAPITAL_RESERVA" localSheetId="9">#REF!</definedName>
    <definedName name="CAPITAL_RESERVA" localSheetId="13">#REF!</definedName>
    <definedName name="CAPITAL_RESERVA" localSheetId="8">#REF!</definedName>
    <definedName name="CAPITAL_RESERVA" localSheetId="12">#REF!</definedName>
    <definedName name="CAPITAL_RESERVA" localSheetId="7">#REF!</definedName>
    <definedName name="CAPITAL_RESERVA" localSheetId="10">#REF!</definedName>
    <definedName name="CAPITAL_RESERVA">#REF!</definedName>
    <definedName name="D" localSheetId="0">#REF!</definedName>
    <definedName name="D" localSheetId="9">#REF!</definedName>
    <definedName name="D" localSheetId="13">#REF!</definedName>
    <definedName name="D" localSheetId="8">#REF!</definedName>
    <definedName name="D" localSheetId="12">#REF!</definedName>
    <definedName name="D">#REF!</definedName>
    <definedName name="DPCABB" localSheetId="0">#REF!</definedName>
    <definedName name="DPCABB" localSheetId="9">#REF!</definedName>
    <definedName name="DPCABB" localSheetId="13">#REF!</definedName>
    <definedName name="DPCABB" localSheetId="8">#REF!</definedName>
    <definedName name="DPCABB" localSheetId="12">#REF!</definedName>
    <definedName name="DPCABB" localSheetId="7">#REF!</definedName>
    <definedName name="DPCABB" localSheetId="10">#REF!</definedName>
    <definedName name="DPCABB">#REF!</definedName>
    <definedName name="MULTIPLICADOR" localSheetId="0">#REF!</definedName>
    <definedName name="MULTIPLICADOR" localSheetId="9">#REF!</definedName>
    <definedName name="MULTIPLICADOR" localSheetId="13">#REF!</definedName>
    <definedName name="MULTIPLICADOR" localSheetId="8">#REF!</definedName>
    <definedName name="MULTIPLICADOR" localSheetId="12">#REF!</definedName>
    <definedName name="MULTIPLICADOR" localSheetId="7">#REF!</definedName>
    <definedName name="MULTIPLICADOR" localSheetId="10">#REF!</definedName>
    <definedName name="MULTIPLICADOR">#REF!</definedName>
    <definedName name="Pal_Workbook_GUID" hidden="1">"BIF9JBKKN1G8KCKGF2EBWJML"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_xlnm.Print_Titles" localSheetId="17">'Refurbishment SVC'!$1:$12</definedName>
    <definedName name="VPN" localSheetId="0">#REF!</definedName>
    <definedName name="VPN" localSheetId="9">#REF!</definedName>
    <definedName name="VPN" localSheetId="13">#REF!</definedName>
    <definedName name="VPN" localSheetId="8">#REF!</definedName>
    <definedName name="VPN" localSheetId="12">#REF!</definedName>
    <definedName name="VPN" localSheetId="7">#REF!</definedName>
    <definedName name="VPN" localSheetId="10">#REF!</definedName>
    <definedName name="VPN">#REF!</definedName>
    <definedName name="zxcvzcxv" localSheetId="0">#REF!</definedName>
    <definedName name="zxcvzcxv" localSheetId="9">#REF!</definedName>
    <definedName name="zxcvzcxv" localSheetId="13">#REF!</definedName>
    <definedName name="zxcvzcxv" localSheetId="12">#REF!</definedName>
    <definedName name="zxcvzcxv">#REF!</definedName>
  </definedNames>
  <calcPr calcId="145621"/>
  <customWorkbookViews>
    <customWorkbookView name="ÁLVARO PÉREZ GELVES - Vista personalizada" guid="{4855CA7E-D0E4-4BAE-B28F-C7B8E2548C7E}" mergeInterval="0" personalView="1" maximized="1" windowWidth="1362" windowHeight="543" activeSheetId="13"/>
    <customWorkbookView name="Alvaro Perez Gelves - Vista personalizada" guid="{8877400E-0ED9-40F2-B6D2-591D7CFEBFC1}" mergeInterval="0" personalView="1" maximized="1" windowWidth="1362" windowHeight="543" activeSheetId="1"/>
  </customWorkbookViews>
</workbook>
</file>

<file path=xl/calcChain.xml><?xml version="1.0" encoding="utf-8"?>
<calcChain xmlns="http://schemas.openxmlformats.org/spreadsheetml/2006/main">
  <c r="B5" i="50" l="1"/>
  <c r="B55" i="50"/>
  <c r="B53" i="50"/>
  <c r="B51" i="50"/>
  <c r="B47" i="50"/>
  <c r="B45" i="50"/>
  <c r="B39" i="50"/>
  <c r="B25" i="50"/>
  <c r="B21" i="50"/>
  <c r="B4" i="50"/>
  <c r="B5" i="20"/>
  <c r="B3" i="50" l="1"/>
  <c r="AW52" i="3"/>
  <c r="AX52" i="3"/>
  <c r="AY52" i="3"/>
  <c r="AZ52" i="3"/>
  <c r="BA52" i="3"/>
  <c r="BB52" i="3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Q10" i="2"/>
  <c r="Q7" i="2" s="1"/>
  <c r="E18" i="2"/>
  <c r="F18" i="2" s="1"/>
  <c r="G18" i="2" s="1"/>
  <c r="H18" i="2" s="1"/>
  <c r="I18" i="2" s="1"/>
  <c r="J18" i="2" s="1"/>
  <c r="K18" i="2" s="1"/>
  <c r="L18" i="2" s="1"/>
  <c r="M18" i="2" s="1"/>
  <c r="N18" i="2" s="1"/>
  <c r="O18" i="2" s="1"/>
  <c r="P18" i="2" s="1"/>
  <c r="Q18" i="2" s="1"/>
  <c r="R18" i="2" s="1"/>
  <c r="S18" i="2" s="1"/>
  <c r="T18" i="2" s="1"/>
  <c r="U18" i="2" s="1"/>
  <c r="V18" i="2" s="1"/>
  <c r="W18" i="2" s="1"/>
  <c r="X18" i="2" s="1"/>
  <c r="Y18" i="2" s="1"/>
  <c r="Z18" i="2" s="1"/>
  <c r="AA18" i="2" s="1"/>
  <c r="AB18" i="2" s="1"/>
  <c r="AC18" i="2" s="1"/>
  <c r="AD18" i="2" s="1"/>
  <c r="AE18" i="2" s="1"/>
  <c r="AF18" i="2" s="1"/>
  <c r="AG18" i="2" s="1"/>
  <c r="AX5" i="28" l="1"/>
  <c r="AY5" i="28"/>
  <c r="AZ5" i="28"/>
  <c r="BA5" i="28"/>
  <c r="BB5" i="28"/>
  <c r="H24" i="47"/>
  <c r="H25" i="47" s="1"/>
  <c r="G24" i="47"/>
  <c r="G25" i="47" s="1"/>
  <c r="AX5" i="29"/>
  <c r="AY5" i="29"/>
  <c r="AZ5" i="29"/>
  <c r="BA5" i="29"/>
  <c r="BB5" i="29"/>
  <c r="AX5" i="1"/>
  <c r="AY5" i="1"/>
  <c r="AZ5" i="1"/>
  <c r="F16" i="47"/>
  <c r="G16" i="47" s="1"/>
  <c r="H16" i="47" s="1"/>
  <c r="O5" i="29" s="1"/>
  <c r="O5" i="28" l="1"/>
  <c r="I16" i="47"/>
  <c r="O5" i="1"/>
  <c r="O8" i="1" s="1"/>
  <c r="I24" i="47"/>
  <c r="BB15" i="29"/>
  <c r="BA15" i="29"/>
  <c r="AZ15" i="29"/>
  <c r="AY15" i="29"/>
  <c r="AX15" i="29"/>
  <c r="AW15" i="29"/>
  <c r="AV15" i="29"/>
  <c r="AH13" i="1"/>
  <c r="AH15" i="1" s="1"/>
  <c r="AI13" i="1"/>
  <c r="AI15" i="1" s="1"/>
  <c r="AJ13" i="1"/>
  <c r="AJ15" i="1" s="1"/>
  <c r="AK13" i="1"/>
  <c r="AK15" i="1" s="1"/>
  <c r="AL13" i="1"/>
  <c r="AL15" i="1" s="1"/>
  <c r="AM13" i="1"/>
  <c r="AM15" i="1" s="1"/>
  <c r="AN13" i="1"/>
  <c r="AN15" i="1" s="1"/>
  <c r="AO13" i="1"/>
  <c r="AO15" i="1" s="1"/>
  <c r="AP13" i="1"/>
  <c r="AP15" i="1" s="1"/>
  <c r="AQ13" i="1"/>
  <c r="AQ15" i="1" s="1"/>
  <c r="AR13" i="1"/>
  <c r="AR15" i="1" s="1"/>
  <c r="AS13" i="1"/>
  <c r="AS15" i="1" s="1"/>
  <c r="AT13" i="1"/>
  <c r="AT15" i="1" s="1"/>
  <c r="AU13" i="1"/>
  <c r="AU15" i="1" s="1"/>
  <c r="AV13" i="1"/>
  <c r="AV15" i="1" s="1"/>
  <c r="AW13" i="1"/>
  <c r="AW15" i="1" s="1"/>
  <c r="AX13" i="1"/>
  <c r="AX15" i="1" s="1"/>
  <c r="AY13" i="1"/>
  <c r="AY15" i="1" s="1"/>
  <c r="AZ13" i="1"/>
  <c r="AZ15" i="1" s="1"/>
  <c r="AH13" i="28"/>
  <c r="AH15" i="28" s="1"/>
  <c r="AI13" i="28"/>
  <c r="AI15" i="28" s="1"/>
  <c r="AJ13" i="28"/>
  <c r="AJ15" i="28" s="1"/>
  <c r="AK13" i="28"/>
  <c r="AK15" i="28" s="1"/>
  <c r="AL13" i="28"/>
  <c r="AL15" i="28" s="1"/>
  <c r="AM13" i="28"/>
  <c r="AM15" i="28" s="1"/>
  <c r="AN13" i="28"/>
  <c r="AN15" i="28" s="1"/>
  <c r="AO13" i="28"/>
  <c r="AO15" i="28" s="1"/>
  <c r="AP13" i="28"/>
  <c r="AP15" i="28" s="1"/>
  <c r="AQ13" i="28"/>
  <c r="AQ15" i="28" s="1"/>
  <c r="AR13" i="28"/>
  <c r="AR15" i="28" s="1"/>
  <c r="AS13" i="28"/>
  <c r="AS15" i="28" s="1"/>
  <c r="AT13" i="28"/>
  <c r="AT15" i="28" s="1"/>
  <c r="AU13" i="28"/>
  <c r="AU15" i="28" s="1"/>
  <c r="AV13" i="28"/>
  <c r="AV15" i="28" s="1"/>
  <c r="AW13" i="28"/>
  <c r="AW15" i="28" s="1"/>
  <c r="AX13" i="28"/>
  <c r="AX15" i="28" s="1"/>
  <c r="AY13" i="28"/>
  <c r="AY15" i="28" s="1"/>
  <c r="AZ13" i="28"/>
  <c r="AZ15" i="28" s="1"/>
  <c r="BA13" i="28"/>
  <c r="BA15" i="28" s="1"/>
  <c r="BB13" i="28"/>
  <c r="BB15" i="28" s="1"/>
  <c r="AV10" i="3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B41" i="46"/>
  <c r="H26" i="46"/>
  <c r="D25" i="46"/>
  <c r="E25" i="46" s="1"/>
  <c r="H25" i="46" s="1"/>
  <c r="D23" i="46"/>
  <c r="E23" i="46" s="1"/>
  <c r="F23" i="46" s="1"/>
  <c r="G23" i="46" s="1"/>
  <c r="H7" i="46"/>
  <c r="B41" i="43"/>
  <c r="H26" i="43"/>
  <c r="D25" i="43"/>
  <c r="E25" i="43" s="1"/>
  <c r="H25" i="43" s="1"/>
  <c r="D23" i="43"/>
  <c r="E23" i="43" s="1"/>
  <c r="F23" i="43" s="1"/>
  <c r="AT28" i="45"/>
  <c r="AS28" i="45"/>
  <c r="AR28" i="45"/>
  <c r="AQ28" i="45"/>
  <c r="AP28" i="45"/>
  <c r="AO28" i="45"/>
  <c r="AN28" i="45"/>
  <c r="AM28" i="45"/>
  <c r="AL28" i="45"/>
  <c r="AK28" i="45"/>
  <c r="AJ28" i="45"/>
  <c r="AI28" i="45"/>
  <c r="AH28" i="45"/>
  <c r="AG28" i="45"/>
  <c r="E8" i="45"/>
  <c r="AG28" i="41"/>
  <c r="AH28" i="41"/>
  <c r="AI28" i="41"/>
  <c r="AJ28" i="41"/>
  <c r="AK28" i="41"/>
  <c r="AL28" i="41"/>
  <c r="AM28" i="41"/>
  <c r="AN28" i="41"/>
  <c r="AO28" i="41"/>
  <c r="AP28" i="41"/>
  <c r="AQ28" i="41"/>
  <c r="AR28" i="41"/>
  <c r="AS28" i="41"/>
  <c r="AT28" i="41"/>
  <c r="H7" i="43"/>
  <c r="E8" i="41"/>
  <c r="P5" i="29" l="1"/>
  <c r="P5" i="28"/>
  <c r="J24" i="47"/>
  <c r="I25" i="47"/>
  <c r="J16" i="47"/>
  <c r="P5" i="1"/>
  <c r="H23" i="46"/>
  <c r="G23" i="43"/>
  <c r="H23" i="43" s="1"/>
  <c r="C5" i="29" l="1"/>
  <c r="C5" i="28"/>
  <c r="C5" i="1"/>
  <c r="Q5" i="29"/>
  <c r="Q5" i="28"/>
  <c r="K16" i="47"/>
  <c r="R5" i="28" s="1"/>
  <c r="Q5" i="1"/>
  <c r="K24" i="47"/>
  <c r="J25" i="47"/>
  <c r="AG26" i="45"/>
  <c r="AG29" i="45" s="1"/>
  <c r="AG37" i="45" s="1"/>
  <c r="M12" i="39"/>
  <c r="L12" i="39"/>
  <c r="K12" i="39"/>
  <c r="J12" i="39"/>
  <c r="I12" i="39"/>
  <c r="H12" i="39"/>
  <c r="P24" i="29"/>
  <c r="D5" i="29" l="1"/>
  <c r="D5" i="28"/>
  <c r="D5" i="1"/>
  <c r="D8" i="1" s="1"/>
  <c r="L16" i="47"/>
  <c r="S5" i="28" s="1"/>
  <c r="S8" i="28" s="1"/>
  <c r="R5" i="29"/>
  <c r="R5" i="1"/>
  <c r="L24" i="47"/>
  <c r="K25" i="47"/>
  <c r="AH29" i="45"/>
  <c r="AH37" i="45" s="1"/>
  <c r="AC28" i="12"/>
  <c r="Z28" i="12"/>
  <c r="Z29" i="12"/>
  <c r="Z30" i="12"/>
  <c r="Z31" i="12"/>
  <c r="Z32" i="12"/>
  <c r="Z33" i="12"/>
  <c r="Z34" i="12"/>
  <c r="Z35" i="12"/>
  <c r="Z36" i="12"/>
  <c r="Z37" i="12"/>
  <c r="Z38" i="12"/>
  <c r="Z40" i="12"/>
  <c r="Z41" i="12"/>
  <c r="Z42" i="12"/>
  <c r="Z43" i="12"/>
  <c r="Z44" i="12"/>
  <c r="Z45" i="12"/>
  <c r="Z46" i="12"/>
  <c r="Z47" i="12"/>
  <c r="Z48" i="12"/>
  <c r="Z49" i="12"/>
  <c r="Z50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81" i="12"/>
  <c r="Z82" i="12"/>
  <c r="Z83" i="12"/>
  <c r="Z84" i="12"/>
  <c r="Z85" i="12"/>
  <c r="Z86" i="12"/>
  <c r="Z87" i="12"/>
  <c r="Z88" i="12"/>
  <c r="Z89" i="12"/>
  <c r="Z90" i="12"/>
  <c r="Z91" i="12"/>
  <c r="Z92" i="12"/>
  <c r="Z93" i="12"/>
  <c r="Z94" i="12"/>
  <c r="Z95" i="12"/>
  <c r="Z96" i="12"/>
  <c r="Z97" i="12"/>
  <c r="Z98" i="12"/>
  <c r="Z99" i="12"/>
  <c r="Z100" i="12"/>
  <c r="Z101" i="12"/>
  <c r="Z102" i="12"/>
  <c r="Z103" i="12"/>
  <c r="Z104" i="12"/>
  <c r="Z105" i="12"/>
  <c r="Z106" i="12"/>
  <c r="Z107" i="12"/>
  <c r="Z108" i="12"/>
  <c r="Z109" i="12"/>
  <c r="Z110" i="12"/>
  <c r="Z111" i="12"/>
  <c r="Z112" i="12"/>
  <c r="Z113" i="12"/>
  <c r="Z114" i="12"/>
  <c r="Z115" i="12"/>
  <c r="Z116" i="12"/>
  <c r="Z117" i="12"/>
  <c r="Z118" i="12"/>
  <c r="Z119" i="12"/>
  <c r="Z120" i="12"/>
  <c r="Z121" i="12"/>
  <c r="Z122" i="12"/>
  <c r="Z123" i="12"/>
  <c r="Z124" i="12"/>
  <c r="Z125" i="12"/>
  <c r="Z126" i="12"/>
  <c r="Z127" i="12"/>
  <c r="Z128" i="12"/>
  <c r="Z129" i="12"/>
  <c r="Z130" i="12"/>
  <c r="Z131" i="12"/>
  <c r="Z132" i="12"/>
  <c r="Z133" i="12"/>
  <c r="Z134" i="12"/>
  <c r="Z135" i="12"/>
  <c r="Z136" i="12"/>
  <c r="Z137" i="12"/>
  <c r="Z138" i="12"/>
  <c r="Z139" i="12"/>
  <c r="Z140" i="12"/>
  <c r="Z141" i="12"/>
  <c r="Z142" i="12"/>
  <c r="Z143" i="12"/>
  <c r="Z144" i="12"/>
  <c r="Z145" i="12"/>
  <c r="Z146" i="12"/>
  <c r="Z147" i="12"/>
  <c r="Z148" i="12"/>
  <c r="Z149" i="12"/>
  <c r="Z150" i="12"/>
  <c r="Z151" i="12"/>
  <c r="Z152" i="12"/>
  <c r="Z153" i="12"/>
  <c r="Z154" i="12"/>
  <c r="Z155" i="12"/>
  <c r="Z156" i="12"/>
  <c r="Z157" i="12"/>
  <c r="Z158" i="12"/>
  <c r="Z159" i="12"/>
  <c r="Z160" i="12"/>
  <c r="Z161" i="12"/>
  <c r="Z162" i="12"/>
  <c r="Y51" i="12"/>
  <c r="Z51" i="12" s="1"/>
  <c r="Y39" i="12"/>
  <c r="Z39" i="12" s="1"/>
  <c r="Y27" i="12"/>
  <c r="Z27" i="12" s="1"/>
  <c r="B26" i="12"/>
  <c r="B119" i="12" s="1"/>
  <c r="N27" i="12"/>
  <c r="N28" i="12"/>
  <c r="N29" i="12"/>
  <c r="T17" i="28" s="1"/>
  <c r="N30" i="12"/>
  <c r="N31" i="12"/>
  <c r="N32" i="12"/>
  <c r="N33" i="12"/>
  <c r="X17" i="28" s="1"/>
  <c r="N34" i="12"/>
  <c r="N35" i="12"/>
  <c r="N36" i="12"/>
  <c r="BB25" i="29"/>
  <c r="BB21" i="29" s="1"/>
  <c r="BB24" i="29" s="1"/>
  <c r="BA25" i="29"/>
  <c r="AZ25" i="29"/>
  <c r="AZ21" i="29" s="1"/>
  <c r="AY25" i="29"/>
  <c r="AX25" i="29"/>
  <c r="AX21" i="29" s="1"/>
  <c r="AW25" i="29"/>
  <c r="AV25" i="29"/>
  <c r="AV21" i="29" s="1"/>
  <c r="AV24" i="29" s="1"/>
  <c r="AU25" i="29"/>
  <c r="AU21" i="29" s="1"/>
  <c r="AU24" i="29" s="1"/>
  <c r="AT25" i="29"/>
  <c r="AT21" i="29" s="1"/>
  <c r="AS25" i="29"/>
  <c r="AR25" i="29"/>
  <c r="AR21" i="29" s="1"/>
  <c r="AQ25" i="29"/>
  <c r="AQ21" i="29" s="1"/>
  <c r="AQ24" i="29" s="1"/>
  <c r="AP25" i="29"/>
  <c r="AP21" i="29" s="1"/>
  <c r="AO25" i="29"/>
  <c r="AN25" i="29"/>
  <c r="AN21" i="29" s="1"/>
  <c r="AN24" i="29" s="1"/>
  <c r="AM25" i="29"/>
  <c r="AM21" i="29" s="1"/>
  <c r="AM24" i="29" s="1"/>
  <c r="AL25" i="29"/>
  <c r="AL21" i="29" s="1"/>
  <c r="AL18" i="29" s="1"/>
  <c r="AK25" i="29"/>
  <c r="AJ25" i="29"/>
  <c r="AJ21" i="29" s="1"/>
  <c r="AI25" i="29"/>
  <c r="AI21" i="29" s="1"/>
  <c r="AI24" i="29" s="1"/>
  <c r="AH25" i="29"/>
  <c r="AH21" i="29" s="1"/>
  <c r="AG25" i="29"/>
  <c r="AF25" i="29"/>
  <c r="AF21" i="29" s="1"/>
  <c r="AF24" i="29" s="1"/>
  <c r="AE25" i="29"/>
  <c r="AE21" i="29" s="1"/>
  <c r="AE24" i="29" s="1"/>
  <c r="AD25" i="29"/>
  <c r="AD21" i="29" s="1"/>
  <c r="AC25" i="29"/>
  <c r="AB25" i="29"/>
  <c r="AB21" i="29" s="1"/>
  <c r="AA25" i="29"/>
  <c r="Z25" i="29"/>
  <c r="Z21" i="29" s="1"/>
  <c r="Z18" i="29" s="1"/>
  <c r="Y25" i="29"/>
  <c r="X25" i="29"/>
  <c r="X21" i="29" s="1"/>
  <c r="W25" i="29"/>
  <c r="V25" i="29"/>
  <c r="V21" i="29" s="1"/>
  <c r="W18" i="29" s="1"/>
  <c r="U25" i="29"/>
  <c r="T25" i="29"/>
  <c r="T21" i="29" s="1"/>
  <c r="U18" i="29" s="1"/>
  <c r="S25" i="29"/>
  <c r="R25" i="29"/>
  <c r="R21" i="29" s="1"/>
  <c r="R24" i="29" s="1"/>
  <c r="BA21" i="29"/>
  <c r="BA24" i="29"/>
  <c r="AY21" i="29"/>
  <c r="AY24" i="29" s="1"/>
  <c r="AW21" i="29"/>
  <c r="AW24" i="29" s="1"/>
  <c r="AS21" i="29"/>
  <c r="AS24" i="29" s="1"/>
  <c r="AO21" i="29"/>
  <c r="AO24" i="29" s="1"/>
  <c r="AK21" i="29"/>
  <c r="AK24" i="29"/>
  <c r="AG21" i="29"/>
  <c r="AG24" i="29" s="1"/>
  <c r="AC21" i="29"/>
  <c r="AC24" i="29" s="1"/>
  <c r="AA21" i="29"/>
  <c r="AA24" i="29" s="1"/>
  <c r="Y21" i="29"/>
  <c r="Y24" i="29" s="1"/>
  <c r="X24" i="29"/>
  <c r="W21" i="29"/>
  <c r="W24" i="29"/>
  <c r="U21" i="29"/>
  <c r="U24" i="29"/>
  <c r="S21" i="29"/>
  <c r="S24" i="29" s="1"/>
  <c r="BB18" i="29"/>
  <c r="Q25" i="29"/>
  <c r="Q21" i="29" s="1"/>
  <c r="M8" i="3"/>
  <c r="N8" i="3"/>
  <c r="O8" i="3"/>
  <c r="P8" i="3"/>
  <c r="AW51" i="3"/>
  <c r="AX51" i="3"/>
  <c r="AY51" i="3"/>
  <c r="AZ51" i="3"/>
  <c r="BA51" i="3"/>
  <c r="BB51" i="3"/>
  <c r="D28" i="3"/>
  <c r="D12" i="3"/>
  <c r="D14" i="3" s="1"/>
  <c r="D17" i="3" s="1"/>
  <c r="D20" i="3" s="1"/>
  <c r="D22" i="3" s="1"/>
  <c r="E119" i="12"/>
  <c r="E78" i="12"/>
  <c r="F119" i="12"/>
  <c r="F78" i="12"/>
  <c r="F37" i="12" s="1"/>
  <c r="F120" i="12" s="1"/>
  <c r="G119" i="12"/>
  <c r="G78" i="12"/>
  <c r="H119" i="12"/>
  <c r="H78" i="12"/>
  <c r="I119" i="12"/>
  <c r="I78" i="12"/>
  <c r="J119" i="12"/>
  <c r="J37" i="12" s="1"/>
  <c r="J78" i="12"/>
  <c r="K119" i="12"/>
  <c r="K37" i="12" s="1"/>
  <c r="K78" i="12"/>
  <c r="L119" i="12"/>
  <c r="L78" i="12"/>
  <c r="M119" i="12"/>
  <c r="M78" i="12"/>
  <c r="AX6" i="28"/>
  <c r="AX7" i="28" s="1"/>
  <c r="AZ6" i="28"/>
  <c r="BB6" i="28"/>
  <c r="AY6" i="28"/>
  <c r="AY7" i="28" s="1"/>
  <c r="BA6" i="28"/>
  <c r="BA7" i="28" s="1"/>
  <c r="AZ7" i="28"/>
  <c r="AY8" i="28"/>
  <c r="BA8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AI24" i="28"/>
  <c r="S17" i="28"/>
  <c r="U17" i="28"/>
  <c r="V17" i="28"/>
  <c r="W17" i="28"/>
  <c r="Y17" i="28"/>
  <c r="Z17" i="28"/>
  <c r="AA17" i="28"/>
  <c r="R17" i="28"/>
  <c r="AX6" i="29"/>
  <c r="AZ6" i="29"/>
  <c r="BB6" i="29"/>
  <c r="AY6" i="29"/>
  <c r="AY7" i="29" s="1"/>
  <c r="BA6" i="29"/>
  <c r="BA7" i="29" s="1"/>
  <c r="AY8" i="29"/>
  <c r="BA8" i="29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V23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C26" i="12"/>
  <c r="D26" i="12"/>
  <c r="O55" i="12"/>
  <c r="B164" i="12"/>
  <c r="B166" i="12" s="1"/>
  <c r="B168" i="12" s="1"/>
  <c r="B170" i="12" s="1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AY6" i="1"/>
  <c r="AZ6" i="1"/>
  <c r="AZ7" i="1" s="1"/>
  <c r="AY7" i="1"/>
  <c r="AY8" i="1"/>
  <c r="AX6" i="1"/>
  <c r="AZ8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D30" i="1"/>
  <c r="E30" i="1" s="1"/>
  <c r="C11" i="36"/>
  <c r="C12" i="36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27" i="12"/>
  <c r="P27" i="12" s="1"/>
  <c r="O28" i="12"/>
  <c r="P28" i="12"/>
  <c r="O29" i="12"/>
  <c r="P29" i="12" s="1"/>
  <c r="O30" i="12"/>
  <c r="P30" i="12" s="1"/>
  <c r="O31" i="12"/>
  <c r="P31" i="12" s="1"/>
  <c r="O32" i="12"/>
  <c r="O33" i="12"/>
  <c r="O34" i="12"/>
  <c r="P34" i="12" s="1"/>
  <c r="O35" i="12"/>
  <c r="P35" i="12" s="1"/>
  <c r="O36" i="12"/>
  <c r="P36" i="12"/>
  <c r="O26" i="12"/>
  <c r="B43" i="1"/>
  <c r="D43" i="1" s="1"/>
  <c r="D5" i="2" s="1"/>
  <c r="E5" i="2" s="1"/>
  <c r="H5" i="2" s="1"/>
  <c r="C44" i="1"/>
  <c r="D44" i="1" s="1"/>
  <c r="D3" i="2" s="1"/>
  <c r="E3" i="2" s="1"/>
  <c r="F3" i="2" s="1"/>
  <c r="C40" i="1"/>
  <c r="P8" i="1"/>
  <c r="Q8" i="1"/>
  <c r="R8" i="1"/>
  <c r="D40" i="28"/>
  <c r="C40" i="28"/>
  <c r="D40" i="29"/>
  <c r="C40" i="29"/>
  <c r="B43" i="29"/>
  <c r="D43" i="29"/>
  <c r="C44" i="29"/>
  <c r="D44" i="29" s="1"/>
  <c r="D40" i="1"/>
  <c r="O6" i="1"/>
  <c r="O7" i="1" s="1"/>
  <c r="P6" i="1"/>
  <c r="Q6" i="1"/>
  <c r="Q7" i="1" s="1"/>
  <c r="R6" i="1"/>
  <c r="R7" i="1" s="1"/>
  <c r="C25" i="28"/>
  <c r="D21" i="28" s="1"/>
  <c r="D24" i="28" s="1"/>
  <c r="C25" i="29"/>
  <c r="D21" i="29" s="1"/>
  <c r="D25" i="29"/>
  <c r="D30" i="29"/>
  <c r="E30" i="29" s="1"/>
  <c r="F30" i="29" s="1"/>
  <c r="G30" i="29" s="1"/>
  <c r="H30" i="29" s="1"/>
  <c r="I30" i="29" s="1"/>
  <c r="J30" i="29" s="1"/>
  <c r="K30" i="29" s="1"/>
  <c r="L30" i="29" s="1"/>
  <c r="M30" i="29" s="1"/>
  <c r="N30" i="29" s="1"/>
  <c r="O30" i="29" s="1"/>
  <c r="AG25" i="28"/>
  <c r="AF25" i="28"/>
  <c r="AE25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F21" i="28" s="1"/>
  <c r="P25" i="29"/>
  <c r="O25" i="29"/>
  <c r="N25" i="29"/>
  <c r="M25" i="29"/>
  <c r="L25" i="29"/>
  <c r="K25" i="29"/>
  <c r="J25" i="29"/>
  <c r="I25" i="29"/>
  <c r="H25" i="29"/>
  <c r="G25" i="29"/>
  <c r="F25" i="29"/>
  <c r="E25" i="29"/>
  <c r="R6" i="29"/>
  <c r="Q6" i="29"/>
  <c r="Q7" i="29" s="1"/>
  <c r="Q8" i="29"/>
  <c r="P6" i="29"/>
  <c r="O6" i="29"/>
  <c r="O7" i="29" s="1"/>
  <c r="O8" i="29"/>
  <c r="D30" i="28"/>
  <c r="E30" i="28" s="1"/>
  <c r="F30" i="28" s="1"/>
  <c r="G30" i="28" s="1"/>
  <c r="H30" i="28" s="1"/>
  <c r="I30" i="28" s="1"/>
  <c r="J30" i="28" s="1"/>
  <c r="K30" i="28" s="1"/>
  <c r="L30" i="28" s="1"/>
  <c r="M30" i="28" s="1"/>
  <c r="N30" i="28" s="1"/>
  <c r="O30" i="28" s="1"/>
  <c r="P30" i="28" s="1"/>
  <c r="Q30" i="28" s="1"/>
  <c r="R30" i="28" s="1"/>
  <c r="S30" i="28" s="1"/>
  <c r="T30" i="28" s="1"/>
  <c r="U30" i="28" s="1"/>
  <c r="V30" i="28" s="1"/>
  <c r="W30" i="28" s="1"/>
  <c r="X30" i="28" s="1"/>
  <c r="Y30" i="28" s="1"/>
  <c r="Z30" i="28" s="1"/>
  <c r="AA30" i="28" s="1"/>
  <c r="AB30" i="28" s="1"/>
  <c r="AC30" i="28" s="1"/>
  <c r="AD30" i="28" s="1"/>
  <c r="AE30" i="28" s="1"/>
  <c r="AF30" i="28" s="1"/>
  <c r="AG30" i="28" s="1"/>
  <c r="AH30" i="28" s="1"/>
  <c r="AI30" i="28" s="1"/>
  <c r="AJ30" i="28" s="1"/>
  <c r="AK30" i="28" s="1"/>
  <c r="AL30" i="28" s="1"/>
  <c r="AM30" i="28" s="1"/>
  <c r="AN30" i="28" s="1"/>
  <c r="AO30" i="28" s="1"/>
  <c r="AP30" i="28" s="1"/>
  <c r="AQ30" i="28" s="1"/>
  <c r="AR30" i="28" s="1"/>
  <c r="AS30" i="28" s="1"/>
  <c r="AT30" i="28" s="1"/>
  <c r="AU30" i="28" s="1"/>
  <c r="AV30" i="28" s="1"/>
  <c r="AW30" i="28" s="1"/>
  <c r="AX30" i="28" s="1"/>
  <c r="AY30" i="28" s="1"/>
  <c r="AZ30" i="28" s="1"/>
  <c r="BA30" i="28" s="1"/>
  <c r="BB30" i="28" s="1"/>
  <c r="R6" i="28"/>
  <c r="R7" i="28" s="1"/>
  <c r="Q6" i="28"/>
  <c r="Q7" i="28" s="1"/>
  <c r="P6" i="28"/>
  <c r="P7" i="28" s="1"/>
  <c r="O6" i="28"/>
  <c r="O7" i="28" s="1"/>
  <c r="B43" i="28"/>
  <c r="D43" i="28" s="1"/>
  <c r="C44" i="28"/>
  <c r="D44" i="28" s="1"/>
  <c r="C15" i="21"/>
  <c r="E15" i="21" s="1"/>
  <c r="C16" i="21"/>
  <c r="E16" i="21"/>
  <c r="E17" i="21"/>
  <c r="E18" i="21"/>
  <c r="E19" i="21"/>
  <c r="C20" i="21"/>
  <c r="E20" i="21" s="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D48" i="21"/>
  <c r="E48" i="21" s="1"/>
  <c r="E49" i="21"/>
  <c r="E50" i="21"/>
  <c r="E51" i="21"/>
  <c r="D25" i="1"/>
  <c r="M21" i="1" s="1"/>
  <c r="M24" i="1" s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C25" i="1"/>
  <c r="D21" i="1"/>
  <c r="D24" i="1" s="1"/>
  <c r="C36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E11" i="3"/>
  <c r="B4" i="20"/>
  <c r="B21" i="20"/>
  <c r="B25" i="20"/>
  <c r="B39" i="20"/>
  <c r="B45" i="20"/>
  <c r="B47" i="20"/>
  <c r="B51" i="20"/>
  <c r="B53" i="20"/>
  <c r="B55" i="20"/>
  <c r="B59" i="29"/>
  <c r="B57" i="29"/>
  <c r="B58" i="29" s="1"/>
  <c r="B48" i="29"/>
  <c r="B49" i="29" s="1"/>
  <c r="C47" i="29"/>
  <c r="C24" i="29"/>
  <c r="C24" i="28"/>
  <c r="R8" i="28"/>
  <c r="P8" i="28"/>
  <c r="O8" i="28"/>
  <c r="N25" i="12"/>
  <c r="AC25" i="1"/>
  <c r="AD25" i="1"/>
  <c r="AE25" i="1"/>
  <c r="AF25" i="1"/>
  <c r="AG25" i="1"/>
  <c r="C24" i="1"/>
  <c r="C6" i="1"/>
  <c r="B48" i="1"/>
  <c r="B49" i="1" s="1"/>
  <c r="G22" i="12"/>
  <c r="D22" i="12"/>
  <c r="N24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5" i="12"/>
  <c r="N6" i="12"/>
  <c r="N4" i="12"/>
  <c r="C47" i="1"/>
  <c r="C52" i="1"/>
  <c r="C50" i="1"/>
  <c r="C51" i="1" s="1"/>
  <c r="C54" i="1" s="1"/>
  <c r="B59" i="1"/>
  <c r="B57" i="1"/>
  <c r="B58" i="1" s="1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D8" i="6"/>
  <c r="I15" i="3"/>
  <c r="E27" i="3"/>
  <c r="F27" i="3"/>
  <c r="G27" i="3"/>
  <c r="H6" i="2"/>
  <c r="H27" i="3"/>
  <c r="I27" i="3"/>
  <c r="C52" i="29"/>
  <c r="C50" i="29"/>
  <c r="C51" i="29" s="1"/>
  <c r="C6" i="29"/>
  <c r="C6" i="28"/>
  <c r="Q8" i="28"/>
  <c r="N21" i="1"/>
  <c r="N24" i="1" s="1"/>
  <c r="F24" i="28"/>
  <c r="F49" i="3"/>
  <c r="H37" i="12" l="1"/>
  <c r="H120" i="12" s="1"/>
  <c r="V18" i="29"/>
  <c r="M37" i="12"/>
  <c r="I37" i="12"/>
  <c r="G37" i="12"/>
  <c r="P32" i="12"/>
  <c r="K120" i="12"/>
  <c r="K79" i="12"/>
  <c r="J120" i="12"/>
  <c r="J79" i="12"/>
  <c r="AI27" i="12"/>
  <c r="B52" i="1"/>
  <c r="B50" i="1"/>
  <c r="B51" i="1" s="1"/>
  <c r="AE18" i="29"/>
  <c r="AY36" i="29"/>
  <c r="AY35" i="29"/>
  <c r="AY34" i="29"/>
  <c r="AD18" i="29"/>
  <c r="S6" i="28"/>
  <c r="S7" i="28" s="1"/>
  <c r="O36" i="29"/>
  <c r="O34" i="29"/>
  <c r="O35" i="29"/>
  <c r="P33" i="12"/>
  <c r="AC18" i="29"/>
  <c r="AK18" i="29"/>
  <c r="AS18" i="29"/>
  <c r="BA18" i="29"/>
  <c r="BA34" i="29"/>
  <c r="BA36" i="29"/>
  <c r="BA35" i="29"/>
  <c r="AM18" i="29"/>
  <c r="AU18" i="29"/>
  <c r="E5" i="28"/>
  <c r="E5" i="29"/>
  <c r="E6" i="29" s="1"/>
  <c r="E5" i="1"/>
  <c r="N18" i="1"/>
  <c r="Q34" i="29"/>
  <c r="Q35" i="29"/>
  <c r="Q36" i="29"/>
  <c r="AC27" i="12"/>
  <c r="C54" i="29"/>
  <c r="L21" i="1"/>
  <c r="L24" i="1" s="1"/>
  <c r="L37" i="12"/>
  <c r="L120" i="12" s="1"/>
  <c r="E37" i="12"/>
  <c r="E79" i="12" s="1"/>
  <c r="AT18" i="29"/>
  <c r="B3" i="20"/>
  <c r="E3" i="20" s="1"/>
  <c r="P36" i="28"/>
  <c r="P34" i="28"/>
  <c r="P35" i="28"/>
  <c r="S35" i="28"/>
  <c r="S36" i="28"/>
  <c r="S34" i="28"/>
  <c r="O35" i="28"/>
  <c r="O36" i="28"/>
  <c r="O34" i="28"/>
  <c r="R36" i="28"/>
  <c r="R34" i="28"/>
  <c r="R35" i="28"/>
  <c r="BA35" i="28"/>
  <c r="BA36" i="28"/>
  <c r="BA34" i="28"/>
  <c r="Q35" i="28"/>
  <c r="Q36" i="28"/>
  <c r="Q34" i="28"/>
  <c r="AY35" i="28"/>
  <c r="AY36" i="28"/>
  <c r="AY34" i="28"/>
  <c r="AH18" i="29"/>
  <c r="AP18" i="29"/>
  <c r="AX18" i="29"/>
  <c r="T24" i="29"/>
  <c r="AB24" i="29"/>
  <c r="AJ24" i="29"/>
  <c r="AR24" i="29"/>
  <c r="AZ24" i="29"/>
  <c r="D45" i="29"/>
  <c r="P4" i="29" s="1"/>
  <c r="P9" i="29" s="1"/>
  <c r="Y18" i="29"/>
  <c r="AA18" i="29"/>
  <c r="AG18" i="29"/>
  <c r="AI18" i="29"/>
  <c r="AO18" i="29"/>
  <c r="AQ18" i="29"/>
  <c r="AW18" i="29"/>
  <c r="AY18" i="29"/>
  <c r="D36" i="1"/>
  <c r="D34" i="1"/>
  <c r="D35" i="1"/>
  <c r="M24" i="47"/>
  <c r="L25" i="47"/>
  <c r="M16" i="47"/>
  <c r="T5" i="28" s="1"/>
  <c r="S5" i="1"/>
  <c r="S6" i="1" s="1"/>
  <c r="S7" i="1" s="1"/>
  <c r="S5" i="29"/>
  <c r="BB8" i="29"/>
  <c r="AZ8" i="29"/>
  <c r="AX8" i="29"/>
  <c r="D24" i="43"/>
  <c r="B47" i="43" s="1"/>
  <c r="B50" i="29"/>
  <c r="B52" i="29"/>
  <c r="D52" i="21"/>
  <c r="E52" i="21" s="1"/>
  <c r="D54" i="21" s="1"/>
  <c r="E54" i="21" s="1"/>
  <c r="E55" i="21" s="1"/>
  <c r="P7" i="29"/>
  <c r="R7" i="29"/>
  <c r="R34" i="1"/>
  <c r="R35" i="1"/>
  <c r="R36" i="1"/>
  <c r="S9" i="3" s="1"/>
  <c r="P34" i="1"/>
  <c r="P35" i="1"/>
  <c r="P36" i="1"/>
  <c r="AX7" i="1"/>
  <c r="Q56" i="12"/>
  <c r="Q58" i="12"/>
  <c r="Q60" i="12"/>
  <c r="Q62" i="12"/>
  <c r="Q64" i="12"/>
  <c r="Q66" i="12"/>
  <c r="Q68" i="12"/>
  <c r="Q70" i="12"/>
  <c r="Q72" i="12"/>
  <c r="Q37" i="12"/>
  <c r="Q39" i="12"/>
  <c r="Q41" i="12"/>
  <c r="Q43" i="12"/>
  <c r="Q45" i="12"/>
  <c r="Q47" i="12"/>
  <c r="Q49" i="12"/>
  <c r="Q51" i="12"/>
  <c r="Q53" i="12"/>
  <c r="Q28" i="12"/>
  <c r="R28" i="12" s="1"/>
  <c r="S28" i="12" s="1"/>
  <c r="Q30" i="12"/>
  <c r="R30" i="12" s="1"/>
  <c r="S30" i="12" s="1"/>
  <c r="Q32" i="12"/>
  <c r="R32" i="12" s="1"/>
  <c r="S32" i="12" s="1"/>
  <c r="Q34" i="12"/>
  <c r="R34" i="12" s="1"/>
  <c r="S34" i="12" s="1"/>
  <c r="Q36" i="12"/>
  <c r="R36" i="12" s="1"/>
  <c r="S36" i="12" s="1"/>
  <c r="Q55" i="12"/>
  <c r="Q57" i="12"/>
  <c r="Q59" i="12"/>
  <c r="Q61" i="12"/>
  <c r="Q63" i="12"/>
  <c r="Q65" i="12"/>
  <c r="Q67" i="12"/>
  <c r="Q69" i="12"/>
  <c r="Q71" i="12"/>
  <c r="Q73" i="12"/>
  <c r="Q74" i="12"/>
  <c r="Q75" i="12"/>
  <c r="Q38" i="12"/>
  <c r="Q40" i="12"/>
  <c r="Q42" i="12"/>
  <c r="Q44" i="12"/>
  <c r="Q46" i="12"/>
  <c r="Q48" i="12"/>
  <c r="Q50" i="12"/>
  <c r="Q52" i="12"/>
  <c r="Q54" i="12"/>
  <c r="Q27" i="12"/>
  <c r="R27" i="12" s="1"/>
  <c r="S27" i="12" s="1"/>
  <c r="Q29" i="12"/>
  <c r="R29" i="12" s="1"/>
  <c r="S29" i="12" s="1"/>
  <c r="Q31" i="12"/>
  <c r="R31" i="12" s="1"/>
  <c r="S31" i="12" s="1"/>
  <c r="Q33" i="12"/>
  <c r="R33" i="12" s="1"/>
  <c r="S33" i="12" s="1"/>
  <c r="Q35" i="12"/>
  <c r="R35" i="12" s="1"/>
  <c r="S35" i="12" s="1"/>
  <c r="Q26" i="12"/>
  <c r="G21" i="1"/>
  <c r="H21" i="1"/>
  <c r="K21" i="1"/>
  <c r="O21" i="1"/>
  <c r="F21" i="1"/>
  <c r="I21" i="1"/>
  <c r="J21" i="1"/>
  <c r="P30" i="29"/>
  <c r="Q30" i="29" s="1"/>
  <c r="O4" i="29"/>
  <c r="Q4" i="29"/>
  <c r="Q34" i="1"/>
  <c r="Q35" i="1"/>
  <c r="Q36" i="1"/>
  <c r="R9" i="3" s="1"/>
  <c r="D6" i="1"/>
  <c r="K21" i="29"/>
  <c r="K24" i="29" s="1"/>
  <c r="L21" i="29"/>
  <c r="G21" i="29"/>
  <c r="H21" i="29"/>
  <c r="O21" i="29"/>
  <c r="D4" i="46"/>
  <c r="E4" i="46" s="1"/>
  <c r="F4" i="46" s="1"/>
  <c r="G4" i="46" s="1"/>
  <c r="H4" i="46" s="1"/>
  <c r="D4" i="43"/>
  <c r="E4" i="43" s="1"/>
  <c r="F4" i="43" s="1"/>
  <c r="G4" i="43" s="1"/>
  <c r="H4" i="43" s="1"/>
  <c r="D6" i="46"/>
  <c r="E6" i="46" s="1"/>
  <c r="H6" i="46" s="1"/>
  <c r="D6" i="43"/>
  <c r="E6" i="43" s="1"/>
  <c r="H6" i="43" s="1"/>
  <c r="D35" i="46"/>
  <c r="D36" i="46" s="1"/>
  <c r="D35" i="43"/>
  <c r="D36" i="43" s="1"/>
  <c r="AZ34" i="1"/>
  <c r="AZ35" i="1"/>
  <c r="AZ36" i="1"/>
  <c r="C78" i="12"/>
  <c r="C119" i="12"/>
  <c r="BB7" i="29"/>
  <c r="AZ7" i="29"/>
  <c r="AX7" i="29"/>
  <c r="M79" i="12"/>
  <c r="M120" i="12"/>
  <c r="M38" i="12" s="1"/>
  <c r="M80" i="12"/>
  <c r="L79" i="12"/>
  <c r="P8" i="29"/>
  <c r="R8" i="29"/>
  <c r="D24" i="29"/>
  <c r="P7" i="1"/>
  <c r="O34" i="1"/>
  <c r="O35" i="1"/>
  <c r="P13" i="3" s="1"/>
  <c r="O36" i="1"/>
  <c r="D45" i="1"/>
  <c r="E35" i="46"/>
  <c r="E35" i="43"/>
  <c r="E36" i="43" s="1"/>
  <c r="F30" i="1"/>
  <c r="AX8" i="1"/>
  <c r="AY34" i="1"/>
  <c r="AY35" i="1"/>
  <c r="AY36" i="1"/>
  <c r="D119" i="12"/>
  <c r="D78" i="12"/>
  <c r="AA21" i="28"/>
  <c r="Y21" i="28"/>
  <c r="W21" i="28"/>
  <c r="U21" i="28"/>
  <c r="S21" i="28"/>
  <c r="S24" i="28" s="1"/>
  <c r="Z21" i="28"/>
  <c r="X21" i="28"/>
  <c r="V21" i="28"/>
  <c r="T21" i="28"/>
  <c r="I79" i="12"/>
  <c r="G79" i="12"/>
  <c r="I120" i="12"/>
  <c r="H79" i="12"/>
  <c r="H38" i="12" s="1"/>
  <c r="G120" i="12"/>
  <c r="F79" i="12"/>
  <c r="F38" i="12" s="1"/>
  <c r="T18" i="29"/>
  <c r="X18" i="29"/>
  <c r="AB18" i="29"/>
  <c r="AF18" i="29"/>
  <c r="AJ18" i="29"/>
  <c r="AN18" i="29"/>
  <c r="AR18" i="29"/>
  <c r="AV18" i="29"/>
  <c r="AZ18" i="29"/>
  <c r="V24" i="29"/>
  <c r="Z24" i="29"/>
  <c r="AD24" i="29"/>
  <c r="AH24" i="29"/>
  <c r="AL24" i="29"/>
  <c r="AP24" i="29"/>
  <c r="AT24" i="29"/>
  <c r="AX24" i="29"/>
  <c r="M21" i="29"/>
  <c r="J21" i="29"/>
  <c r="AE27" i="12"/>
  <c r="Q24" i="29"/>
  <c r="Q18" i="29"/>
  <c r="S18" i="29"/>
  <c r="R18" i="29"/>
  <c r="N21" i="29"/>
  <c r="I21" i="29"/>
  <c r="I18" i="29" s="1"/>
  <c r="F21" i="29"/>
  <c r="N26" i="12"/>
  <c r="B78" i="12"/>
  <c r="B37" i="12" s="1"/>
  <c r="AB27" i="12"/>
  <c r="AH27" i="12"/>
  <c r="AG27" i="12"/>
  <c r="AD27" i="12"/>
  <c r="AF27" i="12"/>
  <c r="AJ27" i="12"/>
  <c r="G3" i="2"/>
  <c r="H3" i="2" s="1"/>
  <c r="D45" i="28"/>
  <c r="P4" i="28" s="1"/>
  <c r="E21" i="28"/>
  <c r="R21" i="28"/>
  <c r="R24" i="28" s="1"/>
  <c r="O21" i="28"/>
  <c r="N21" i="28"/>
  <c r="M21" i="28"/>
  <c r="L21" i="28"/>
  <c r="K21" i="28"/>
  <c r="J21" i="28"/>
  <c r="I21" i="28"/>
  <c r="H21" i="28"/>
  <c r="G21" i="28"/>
  <c r="BB7" i="28"/>
  <c r="BB8" i="28"/>
  <c r="AZ8" i="28"/>
  <c r="AX8" i="28"/>
  <c r="P18" i="29"/>
  <c r="G24" i="29"/>
  <c r="AI29" i="45"/>
  <c r="AI37" i="45" s="1"/>
  <c r="BB53" i="3"/>
  <c r="BA53" i="3"/>
  <c r="AZ53" i="3"/>
  <c r="AY53" i="3"/>
  <c r="AX53" i="3"/>
  <c r="AW53" i="3"/>
  <c r="B54" i="1" l="1"/>
  <c r="R34" i="29"/>
  <c r="R36" i="29"/>
  <c r="R35" i="29"/>
  <c r="E36" i="46"/>
  <c r="P35" i="29"/>
  <c r="P36" i="29"/>
  <c r="P34" i="29"/>
  <c r="J38" i="12"/>
  <c r="I24" i="29"/>
  <c r="E120" i="12"/>
  <c r="E38" i="12" s="1"/>
  <c r="E121" i="12" s="1"/>
  <c r="Q4" i="1"/>
  <c r="P4" i="1"/>
  <c r="C37" i="12"/>
  <c r="Q9" i="3"/>
  <c r="Q40" i="29"/>
  <c r="BB34" i="29"/>
  <c r="BB35" i="29"/>
  <c r="BB36" i="29"/>
  <c r="F5" i="28"/>
  <c r="F5" i="29"/>
  <c r="F6" i="29" s="1"/>
  <c r="F5" i="1"/>
  <c r="AX34" i="29"/>
  <c r="AX36" i="29"/>
  <c r="AX35" i="29"/>
  <c r="G38" i="12"/>
  <c r="G121" i="12" s="1"/>
  <c r="AZ35" i="29"/>
  <c r="AZ34" i="29"/>
  <c r="AZ36" i="29"/>
  <c r="T6" i="28"/>
  <c r="T7" i="28" s="1"/>
  <c r="T8" i="28"/>
  <c r="I38" i="12"/>
  <c r="P9" i="3"/>
  <c r="P52" i="3" s="1"/>
  <c r="M18" i="1"/>
  <c r="K38" i="12"/>
  <c r="C5" i="41"/>
  <c r="C6" i="41" s="1"/>
  <c r="Q12" i="29" s="1"/>
  <c r="D47" i="43"/>
  <c r="F47" i="43"/>
  <c r="H47" i="43"/>
  <c r="J47" i="43"/>
  <c r="L47" i="43"/>
  <c r="N47" i="43"/>
  <c r="P47" i="43"/>
  <c r="R47" i="43"/>
  <c r="T47" i="43"/>
  <c r="V47" i="43"/>
  <c r="X47" i="43"/>
  <c r="Z47" i="43"/>
  <c r="AB47" i="43"/>
  <c r="AD47" i="43"/>
  <c r="C47" i="43"/>
  <c r="E47" i="43"/>
  <c r="G47" i="43"/>
  <c r="I47" i="43"/>
  <c r="K47" i="43"/>
  <c r="M47" i="43"/>
  <c r="O47" i="43"/>
  <c r="Q47" i="43"/>
  <c r="S47" i="43"/>
  <c r="U47" i="43"/>
  <c r="W47" i="43"/>
  <c r="Y47" i="43"/>
  <c r="AA47" i="43"/>
  <c r="AC47" i="43"/>
  <c r="AE47" i="43"/>
  <c r="AX36" i="28"/>
  <c r="AX34" i="28"/>
  <c r="AX35" i="28"/>
  <c r="BB36" i="28"/>
  <c r="BB34" i="28"/>
  <c r="BB35" i="28"/>
  <c r="AZ36" i="28"/>
  <c r="AZ34" i="28"/>
  <c r="AZ35" i="28"/>
  <c r="S8" i="1"/>
  <c r="S6" i="29"/>
  <c r="S7" i="29" s="1"/>
  <c r="S8" i="29"/>
  <c r="N16" i="47"/>
  <c r="U5" i="28" s="1"/>
  <c r="T5" i="29"/>
  <c r="T5" i="1"/>
  <c r="N24" i="47"/>
  <c r="M25" i="47"/>
  <c r="P10" i="29"/>
  <c r="P16" i="43" s="1"/>
  <c r="F80" i="12"/>
  <c r="F121" i="12"/>
  <c r="H80" i="12"/>
  <c r="H121" i="12"/>
  <c r="B120" i="12"/>
  <c r="B79" i="12"/>
  <c r="C5" i="45"/>
  <c r="D24" i="46"/>
  <c r="S40" i="29"/>
  <c r="S40" i="1"/>
  <c r="Q40" i="28"/>
  <c r="F24" i="29"/>
  <c r="N18" i="29"/>
  <c r="N24" i="29"/>
  <c r="M18" i="29"/>
  <c r="M24" i="29"/>
  <c r="T18" i="28"/>
  <c r="T24" i="28"/>
  <c r="X24" i="28"/>
  <c r="X18" i="28"/>
  <c r="W24" i="28"/>
  <c r="W18" i="28"/>
  <c r="AA24" i="28"/>
  <c r="AA18" i="28"/>
  <c r="D37" i="12"/>
  <c r="AY38" i="1"/>
  <c r="F35" i="46"/>
  <c r="F36" i="46" s="1"/>
  <c r="F35" i="43"/>
  <c r="F36" i="43" s="1"/>
  <c r="G30" i="1"/>
  <c r="O38" i="1"/>
  <c r="O18" i="29"/>
  <c r="O24" i="29"/>
  <c r="G18" i="29"/>
  <c r="K18" i="29"/>
  <c r="Q38" i="1"/>
  <c r="R4" i="29"/>
  <c r="Q9" i="29"/>
  <c r="Q10" i="29" s="1"/>
  <c r="O38" i="29"/>
  <c r="I24" i="1"/>
  <c r="I18" i="1"/>
  <c r="O18" i="1"/>
  <c r="O24" i="1"/>
  <c r="H24" i="1"/>
  <c r="H18" i="1"/>
  <c r="P38" i="1"/>
  <c r="B51" i="29"/>
  <c r="B54" i="29" s="1"/>
  <c r="S18" i="28"/>
  <c r="E21" i="29"/>
  <c r="Q17" i="28"/>
  <c r="Q21" i="28" s="1"/>
  <c r="Q24" i="28" s="1"/>
  <c r="N78" i="12"/>
  <c r="N119" i="12"/>
  <c r="P26" i="12"/>
  <c r="E21" i="1"/>
  <c r="J18" i="29"/>
  <c r="J24" i="29"/>
  <c r="V24" i="28"/>
  <c r="V18" i="28"/>
  <c r="Z24" i="28"/>
  <c r="Z18" i="28"/>
  <c r="U24" i="28"/>
  <c r="U18" i="28"/>
  <c r="Y24" i="28"/>
  <c r="Y18" i="28"/>
  <c r="AX34" i="1"/>
  <c r="AX35" i="1"/>
  <c r="AX36" i="1"/>
  <c r="S34" i="1"/>
  <c r="S35" i="1"/>
  <c r="S36" i="1"/>
  <c r="O4" i="1"/>
  <c r="P9" i="1"/>
  <c r="P10" i="1" s="1"/>
  <c r="Q7" i="3" s="1"/>
  <c r="L38" i="12"/>
  <c r="M121" i="12"/>
  <c r="M39" i="12" s="1"/>
  <c r="C79" i="12"/>
  <c r="C120" i="12"/>
  <c r="AZ38" i="1"/>
  <c r="H18" i="29"/>
  <c r="H24" i="29"/>
  <c r="L18" i="29"/>
  <c r="L24" i="29"/>
  <c r="E6" i="1"/>
  <c r="E7" i="1" s="1"/>
  <c r="E8" i="1"/>
  <c r="D7" i="1"/>
  <c r="N4" i="29"/>
  <c r="O9" i="29"/>
  <c r="O10" i="29" s="1"/>
  <c r="R30" i="29"/>
  <c r="S30" i="29" s="1"/>
  <c r="J24" i="1"/>
  <c r="J18" i="1"/>
  <c r="F24" i="1"/>
  <c r="F18" i="1"/>
  <c r="K24" i="1"/>
  <c r="K18" i="1"/>
  <c r="L18" i="1"/>
  <c r="G24" i="1"/>
  <c r="G18" i="1"/>
  <c r="R38" i="1"/>
  <c r="B32" i="43"/>
  <c r="C30" i="43"/>
  <c r="E24" i="43"/>
  <c r="F24" i="43" s="1"/>
  <c r="G24" i="43" s="1"/>
  <c r="H24" i="43" s="1"/>
  <c r="H27" i="43" s="1"/>
  <c r="H18" i="28"/>
  <c r="H24" i="28"/>
  <c r="J18" i="28"/>
  <c r="J24" i="28"/>
  <c r="L18" i="28"/>
  <c r="L24" i="28"/>
  <c r="N18" i="28"/>
  <c r="N24" i="28"/>
  <c r="D6" i="28"/>
  <c r="D8" i="28"/>
  <c r="S38" i="28"/>
  <c r="E18" i="28"/>
  <c r="E24" i="28"/>
  <c r="R38" i="28"/>
  <c r="Q4" i="28"/>
  <c r="O4" i="28"/>
  <c r="P9" i="28"/>
  <c r="P10" i="28" s="1"/>
  <c r="P11" i="28" s="1"/>
  <c r="BA38" i="28"/>
  <c r="G18" i="28"/>
  <c r="G24" i="28"/>
  <c r="I18" i="28"/>
  <c r="I24" i="28"/>
  <c r="K18" i="28"/>
  <c r="K24" i="28"/>
  <c r="M18" i="28"/>
  <c r="M24" i="28"/>
  <c r="O18" i="28"/>
  <c r="O24" i="28"/>
  <c r="P38" i="28"/>
  <c r="AY38" i="28"/>
  <c r="O38" i="28"/>
  <c r="E6" i="28"/>
  <c r="E8" i="28"/>
  <c r="F18" i="28"/>
  <c r="Q38" i="28"/>
  <c r="AJ29" i="45"/>
  <c r="AJ37" i="45" s="1"/>
  <c r="C38" i="12" l="1"/>
  <c r="H39" i="12"/>
  <c r="H122" i="12" s="1"/>
  <c r="F39" i="12"/>
  <c r="F122" i="12" s="1"/>
  <c r="F40" i="12"/>
  <c r="F123" i="12" s="1"/>
  <c r="G5" i="29"/>
  <c r="G6" i="29" s="1"/>
  <c r="G5" i="28"/>
  <c r="G5" i="1"/>
  <c r="E39" i="12"/>
  <c r="E81" i="12" s="1"/>
  <c r="G80" i="12"/>
  <c r="G39" i="12" s="1"/>
  <c r="I121" i="12"/>
  <c r="I80" i="12"/>
  <c r="U6" i="28"/>
  <c r="U7" i="28" s="1"/>
  <c r="U8" i="28"/>
  <c r="T34" i="28"/>
  <c r="T35" i="28"/>
  <c r="T36" i="28"/>
  <c r="F81" i="12"/>
  <c r="S36" i="29"/>
  <c r="S34" i="29"/>
  <c r="S35" i="29"/>
  <c r="T9" i="3"/>
  <c r="K121" i="12"/>
  <c r="K80" i="12"/>
  <c r="E80" i="12"/>
  <c r="J80" i="12"/>
  <c r="J121" i="12"/>
  <c r="D36" i="28"/>
  <c r="D34" i="28"/>
  <c r="D35" i="28"/>
  <c r="E35" i="28"/>
  <c r="E36" i="28"/>
  <c r="E34" i="28"/>
  <c r="O24" i="47"/>
  <c r="N25" i="47"/>
  <c r="T6" i="29"/>
  <c r="T7" i="29" s="1"/>
  <c r="T8" i="29"/>
  <c r="T6" i="1"/>
  <c r="T7" i="1" s="1"/>
  <c r="T8" i="1"/>
  <c r="U5" i="29"/>
  <c r="O16" i="47"/>
  <c r="V5" i="28" s="1"/>
  <c r="U5" i="1"/>
  <c r="P16" i="46"/>
  <c r="P11" i="29"/>
  <c r="P19" i="29" s="1"/>
  <c r="P15" i="2"/>
  <c r="C32" i="43"/>
  <c r="R38" i="29"/>
  <c r="S13" i="3"/>
  <c r="T30" i="29"/>
  <c r="M4" i="29"/>
  <c r="N9" i="29"/>
  <c r="M122" i="12"/>
  <c r="D6" i="29"/>
  <c r="D8" i="29"/>
  <c r="O9" i="1"/>
  <c r="O10" i="1" s="1"/>
  <c r="P7" i="3" s="1"/>
  <c r="N4" i="1"/>
  <c r="AX38" i="1"/>
  <c r="R26" i="12"/>
  <c r="S26" i="12" s="1"/>
  <c r="P169" i="12"/>
  <c r="P168" i="12"/>
  <c r="E24" i="29"/>
  <c r="E18" i="29"/>
  <c r="Q16" i="46"/>
  <c r="Q16" i="43"/>
  <c r="Q17" i="43" s="1"/>
  <c r="Q11" i="29"/>
  <c r="Q19" i="29" s="1"/>
  <c r="D38" i="1"/>
  <c r="C121" i="12"/>
  <c r="G35" i="46"/>
  <c r="G36" i="46" s="1"/>
  <c r="G35" i="43"/>
  <c r="G36" i="43" s="1"/>
  <c r="H30" i="1"/>
  <c r="D79" i="12"/>
  <c r="D120" i="12"/>
  <c r="F18" i="29"/>
  <c r="C30" i="46"/>
  <c r="E24" i="46"/>
  <c r="F24" i="46" s="1"/>
  <c r="G24" i="46" s="1"/>
  <c r="H24" i="46" s="1"/>
  <c r="H27" i="46" s="1"/>
  <c r="B32" i="46"/>
  <c r="C32" i="46" s="1"/>
  <c r="N37" i="12"/>
  <c r="H81" i="12"/>
  <c r="H40" i="12" s="1"/>
  <c r="F82" i="12"/>
  <c r="C31" i="43"/>
  <c r="D30" i="43"/>
  <c r="D32" i="43" s="1"/>
  <c r="P38" i="29"/>
  <c r="Q13" i="3"/>
  <c r="Q38" i="29"/>
  <c r="R13" i="3"/>
  <c r="O16" i="46"/>
  <c r="O16" i="43"/>
  <c r="P17" i="43" s="1"/>
  <c r="O11" i="29"/>
  <c r="E34" i="1"/>
  <c r="E35" i="1"/>
  <c r="E36" i="1"/>
  <c r="F8" i="1"/>
  <c r="F6" i="1"/>
  <c r="L121" i="12"/>
  <c r="L80" i="12"/>
  <c r="Q9" i="1"/>
  <c r="Q10" i="1" s="1"/>
  <c r="R7" i="3" s="1"/>
  <c r="R4" i="1"/>
  <c r="S38" i="1"/>
  <c r="E18" i="1"/>
  <c r="E24" i="1"/>
  <c r="P25" i="41"/>
  <c r="Q19" i="41"/>
  <c r="S4" i="29"/>
  <c r="R9" i="29"/>
  <c r="R10" i="29" s="1"/>
  <c r="C80" i="12"/>
  <c r="C6" i="45"/>
  <c r="Q12" i="28" s="1"/>
  <c r="M81" i="12"/>
  <c r="B38" i="12"/>
  <c r="R18" i="28"/>
  <c r="AX38" i="28"/>
  <c r="N4" i="28"/>
  <c r="O9" i="28"/>
  <c r="O10" i="28" s="1"/>
  <c r="O11" i="28" s="1"/>
  <c r="AZ38" i="28"/>
  <c r="E7" i="28"/>
  <c r="BB38" i="28"/>
  <c r="R4" i="28"/>
  <c r="Q9" i="28"/>
  <c r="Q10" i="28" s="1"/>
  <c r="Q11" i="28" s="1"/>
  <c r="Q19" i="28" s="1"/>
  <c r="F8" i="28"/>
  <c r="F6" i="28"/>
  <c r="P17" i="28"/>
  <c r="P21" i="28" s="1"/>
  <c r="D7" i="28"/>
  <c r="D31" i="43"/>
  <c r="AK29" i="45"/>
  <c r="AK37" i="45" s="1"/>
  <c r="E122" i="12" l="1"/>
  <c r="E40" i="12" s="1"/>
  <c r="I39" i="12"/>
  <c r="D38" i="12"/>
  <c r="D121" i="12" s="1"/>
  <c r="T38" i="28"/>
  <c r="E9" i="3"/>
  <c r="G122" i="12"/>
  <c r="G81" i="12"/>
  <c r="I81" i="12"/>
  <c r="I122" i="12"/>
  <c r="V8" i="28"/>
  <c r="V6" i="28"/>
  <c r="V7" i="28" s="1"/>
  <c r="T35" i="29"/>
  <c r="T34" i="29"/>
  <c r="T36" i="29"/>
  <c r="U36" i="28"/>
  <c r="U34" i="28"/>
  <c r="U35" i="28"/>
  <c r="F9" i="3"/>
  <c r="D80" i="12"/>
  <c r="D35" i="29"/>
  <c r="D34" i="29"/>
  <c r="D36" i="29"/>
  <c r="H5" i="28"/>
  <c r="H5" i="29"/>
  <c r="H6" i="29" s="1"/>
  <c r="H5" i="1"/>
  <c r="J39" i="12"/>
  <c r="K39" i="12"/>
  <c r="F36" i="28"/>
  <c r="F34" i="28"/>
  <c r="F35" i="28"/>
  <c r="Q17" i="46"/>
  <c r="D38" i="28"/>
  <c r="E30" i="43"/>
  <c r="E32" i="43" s="1"/>
  <c r="V5" i="29"/>
  <c r="V5" i="1"/>
  <c r="P16" i="47"/>
  <c r="W5" i="28" s="1"/>
  <c r="T34" i="1"/>
  <c r="T36" i="1"/>
  <c r="T35" i="1"/>
  <c r="U6" i="1"/>
  <c r="U7" i="1" s="1"/>
  <c r="U8" i="1"/>
  <c r="U8" i="29"/>
  <c r="U6" i="29"/>
  <c r="U7" i="29" s="1"/>
  <c r="P24" i="47"/>
  <c r="O25" i="47"/>
  <c r="H123" i="12"/>
  <c r="H82" i="12"/>
  <c r="T4" i="29"/>
  <c r="S9" i="29"/>
  <c r="S10" i="29" s="1"/>
  <c r="P27" i="41"/>
  <c r="Q21" i="41"/>
  <c r="Q25" i="41" s="1"/>
  <c r="R21" i="41" s="1"/>
  <c r="R9" i="1"/>
  <c r="R10" i="1" s="1"/>
  <c r="S7" i="3" s="1"/>
  <c r="S4" i="1"/>
  <c r="E8" i="29"/>
  <c r="F34" i="1"/>
  <c r="F35" i="1"/>
  <c r="F36" i="1"/>
  <c r="E38" i="1"/>
  <c r="P17" i="46"/>
  <c r="D30" i="46"/>
  <c r="E30" i="46" s="1"/>
  <c r="F30" i="46" s="1"/>
  <c r="G30" i="46" s="1"/>
  <c r="H30" i="46" s="1"/>
  <c r="C31" i="46"/>
  <c r="C39" i="12"/>
  <c r="P17" i="29"/>
  <c r="O15" i="2"/>
  <c r="P16" i="2" s="1"/>
  <c r="Q28" i="3" s="1"/>
  <c r="D7" i="29"/>
  <c r="M40" i="12"/>
  <c r="S38" i="29"/>
  <c r="T13" i="3"/>
  <c r="E38" i="28"/>
  <c r="N38" i="12"/>
  <c r="B121" i="12"/>
  <c r="B80" i="12"/>
  <c r="Q19" i="45"/>
  <c r="P25" i="45"/>
  <c r="R16" i="43"/>
  <c r="R17" i="43" s="1"/>
  <c r="R16" i="46"/>
  <c r="R17" i="46" s="1"/>
  <c r="R11" i="29"/>
  <c r="R19" i="29" s="1"/>
  <c r="R19" i="41"/>
  <c r="Q23" i="41"/>
  <c r="E123" i="12"/>
  <c r="E82" i="12"/>
  <c r="Q15" i="2"/>
  <c r="Q16" i="2" s="1"/>
  <c r="R28" i="3" s="1"/>
  <c r="L39" i="12"/>
  <c r="F7" i="1"/>
  <c r="G6" i="1"/>
  <c r="G7" i="1" s="1"/>
  <c r="G8" i="1"/>
  <c r="AB17" i="28"/>
  <c r="AB21" i="28" s="1"/>
  <c r="P17" i="1"/>
  <c r="P21" i="1" s="1"/>
  <c r="P37" i="12"/>
  <c r="R37" i="12" s="1"/>
  <c r="S37" i="12" s="1"/>
  <c r="N79" i="12"/>
  <c r="N80" i="12"/>
  <c r="N120" i="12"/>
  <c r="N121" i="12"/>
  <c r="D39" i="12"/>
  <c r="D122" i="12" s="1"/>
  <c r="H35" i="46"/>
  <c r="H36" i="46" s="1"/>
  <c r="H35" i="43"/>
  <c r="H36" i="43" s="1"/>
  <c r="I30" i="1"/>
  <c r="M4" i="1"/>
  <c r="N9" i="1"/>
  <c r="L4" i="29"/>
  <c r="M9" i="29"/>
  <c r="U30" i="29"/>
  <c r="F41" i="12"/>
  <c r="F7" i="28"/>
  <c r="P18" i="28"/>
  <c r="Q18" i="28"/>
  <c r="P24" i="28"/>
  <c r="P19" i="28" s="1"/>
  <c r="R9" i="28"/>
  <c r="R10" i="28" s="1"/>
  <c r="R11" i="28" s="1"/>
  <c r="R19" i="28" s="1"/>
  <c r="S4" i="28"/>
  <c r="G6" i="28"/>
  <c r="G8" i="28"/>
  <c r="M4" i="28"/>
  <c r="N9" i="28"/>
  <c r="I30" i="46"/>
  <c r="AL29" i="45"/>
  <c r="AL37" i="45" s="1"/>
  <c r="I40" i="12" l="1"/>
  <c r="D81" i="12"/>
  <c r="I5" i="29"/>
  <c r="I6" i="29" s="1"/>
  <c r="I5" i="28"/>
  <c r="I5" i="1"/>
  <c r="W8" i="28"/>
  <c r="W6" i="28"/>
  <c r="W7" i="28" s="1"/>
  <c r="U38" i="28"/>
  <c r="E34" i="29"/>
  <c r="E36" i="29"/>
  <c r="E35" i="29"/>
  <c r="K81" i="12"/>
  <c r="K122" i="12"/>
  <c r="G9" i="3"/>
  <c r="U34" i="29"/>
  <c r="U36" i="29"/>
  <c r="U35" i="29"/>
  <c r="U9" i="3"/>
  <c r="J81" i="12"/>
  <c r="J122" i="12"/>
  <c r="V34" i="28"/>
  <c r="V36" i="28"/>
  <c r="V35" i="28"/>
  <c r="G40" i="12"/>
  <c r="G35" i="28"/>
  <c r="G36" i="28"/>
  <c r="G34" i="28"/>
  <c r="F30" i="43"/>
  <c r="F32" i="43" s="1"/>
  <c r="E31" i="43"/>
  <c r="U34" i="1"/>
  <c r="U36" i="1"/>
  <c r="V9" i="3" s="1"/>
  <c r="U35" i="1"/>
  <c r="T38" i="1"/>
  <c r="V6" i="1"/>
  <c r="V7" i="1" s="1"/>
  <c r="V8" i="1"/>
  <c r="Q24" i="47"/>
  <c r="P25" i="47"/>
  <c r="W5" i="29"/>
  <c r="Q16" i="47"/>
  <c r="X5" i="28" s="1"/>
  <c r="W5" i="1"/>
  <c r="V6" i="29"/>
  <c r="V7" i="29" s="1"/>
  <c r="V8" i="29"/>
  <c r="D40" i="12"/>
  <c r="D82" i="12" s="1"/>
  <c r="P24" i="1"/>
  <c r="P18" i="1"/>
  <c r="L81" i="12"/>
  <c r="L122" i="12"/>
  <c r="E41" i="12"/>
  <c r="S19" i="41"/>
  <c r="R23" i="41"/>
  <c r="Q21" i="45"/>
  <c r="Q25" i="45" s="1"/>
  <c r="R21" i="45" s="1"/>
  <c r="P27" i="45"/>
  <c r="AC17" i="28"/>
  <c r="AC21" i="28" s="1"/>
  <c r="Q17" i="1"/>
  <c r="Q21" i="1" s="1"/>
  <c r="P38" i="12"/>
  <c r="R38" i="12" s="1"/>
  <c r="S38" i="12" s="1"/>
  <c r="D31" i="46"/>
  <c r="E31" i="46" s="1"/>
  <c r="F31" i="46" s="1"/>
  <c r="G31" i="46" s="1"/>
  <c r="H31" i="46" s="1"/>
  <c r="D32" i="46"/>
  <c r="E32" i="46" s="1"/>
  <c r="F32" i="46" s="1"/>
  <c r="G32" i="46" s="1"/>
  <c r="H32" i="46" s="1"/>
  <c r="I32" i="46" s="1"/>
  <c r="F38" i="1"/>
  <c r="E7" i="29"/>
  <c r="R15" i="2"/>
  <c r="R16" i="2" s="1"/>
  <c r="S28" i="3" s="1"/>
  <c r="S16" i="46"/>
  <c r="S17" i="46" s="1"/>
  <c r="S16" i="43"/>
  <c r="S17" i="43" s="1"/>
  <c r="S11" i="29"/>
  <c r="S19" i="29" s="1"/>
  <c r="F83" i="12"/>
  <c r="F124" i="12"/>
  <c r="F42" i="12" s="1"/>
  <c r="T38" i="29"/>
  <c r="U13" i="3"/>
  <c r="V30" i="29"/>
  <c r="K4" i="29"/>
  <c r="L9" i="29"/>
  <c r="M9" i="1"/>
  <c r="L4" i="1"/>
  <c r="I35" i="46"/>
  <c r="I36" i="46" s="1"/>
  <c r="I35" i="43"/>
  <c r="I36" i="43" s="1"/>
  <c r="J30" i="1"/>
  <c r="AB18" i="28"/>
  <c r="AB24" i="28"/>
  <c r="G34" i="1"/>
  <c r="G35" i="1"/>
  <c r="G36" i="1"/>
  <c r="H9" i="3" s="1"/>
  <c r="H8" i="1"/>
  <c r="H6" i="1"/>
  <c r="F8" i="29"/>
  <c r="R19" i="45"/>
  <c r="Q23" i="45"/>
  <c r="B39" i="12"/>
  <c r="M123" i="12"/>
  <c r="M82" i="12"/>
  <c r="C122" i="12"/>
  <c r="C81" i="12"/>
  <c r="T4" i="1"/>
  <c r="S9" i="1"/>
  <c r="S10" i="1" s="1"/>
  <c r="T7" i="3" s="1"/>
  <c r="R25" i="41"/>
  <c r="U4" i="29"/>
  <c r="T9" i="29"/>
  <c r="T10" i="29" s="1"/>
  <c r="H41" i="12"/>
  <c r="L4" i="28"/>
  <c r="M9" i="28"/>
  <c r="H6" i="28"/>
  <c r="H8" i="28"/>
  <c r="S9" i="28"/>
  <c r="S10" i="28" s="1"/>
  <c r="S11" i="28" s="1"/>
  <c r="S19" i="28" s="1"/>
  <c r="T4" i="28"/>
  <c r="G7" i="28"/>
  <c r="F38" i="28"/>
  <c r="J30" i="46"/>
  <c r="I31" i="46"/>
  <c r="AM29" i="45"/>
  <c r="AM37" i="45" s="1"/>
  <c r="C40" i="12" l="1"/>
  <c r="D123" i="12"/>
  <c r="K40" i="12"/>
  <c r="I123" i="12"/>
  <c r="I41" i="12" s="1"/>
  <c r="I82" i="12"/>
  <c r="V38" i="28"/>
  <c r="J5" i="28"/>
  <c r="J5" i="29"/>
  <c r="J6" i="29" s="1"/>
  <c r="J5" i="1"/>
  <c r="M41" i="12"/>
  <c r="M83" i="12" s="1"/>
  <c r="L40" i="12"/>
  <c r="D41" i="12"/>
  <c r="D83" i="12" s="1"/>
  <c r="G123" i="12"/>
  <c r="G82" i="12"/>
  <c r="J40" i="12"/>
  <c r="F34" i="29"/>
  <c r="F35" i="29"/>
  <c r="F36" i="29"/>
  <c r="X6" i="28"/>
  <c r="X7" i="28" s="1"/>
  <c r="X8" i="28"/>
  <c r="V35" i="29"/>
  <c r="V34" i="29"/>
  <c r="V36" i="29"/>
  <c r="W36" i="28"/>
  <c r="W35" i="28"/>
  <c r="W34" i="28"/>
  <c r="F31" i="43"/>
  <c r="H36" i="28"/>
  <c r="H34" i="28"/>
  <c r="H35" i="28"/>
  <c r="G30" i="43"/>
  <c r="G31" i="43" s="1"/>
  <c r="G32" i="43"/>
  <c r="X5" i="29"/>
  <c r="R16" i="47"/>
  <c r="Y5" i="28" s="1"/>
  <c r="X5" i="1"/>
  <c r="V34" i="1"/>
  <c r="V36" i="1"/>
  <c r="V35" i="1"/>
  <c r="W6" i="1"/>
  <c r="W7" i="1" s="1"/>
  <c r="W8" i="1"/>
  <c r="W6" i="29"/>
  <c r="W7" i="29" s="1"/>
  <c r="W8" i="29"/>
  <c r="R24" i="47"/>
  <c r="Q25" i="47"/>
  <c r="U38" i="1"/>
  <c r="H83" i="12"/>
  <c r="H124" i="12"/>
  <c r="S15" i="2"/>
  <c r="S16" i="2" s="1"/>
  <c r="T28" i="3" s="1"/>
  <c r="T16" i="43"/>
  <c r="T17" i="43" s="1"/>
  <c r="T16" i="46"/>
  <c r="T17" i="46" s="1"/>
  <c r="T11" i="29"/>
  <c r="T19" i="29" s="1"/>
  <c r="U4" i="1"/>
  <c r="T9" i="1"/>
  <c r="T10" i="1" s="1"/>
  <c r="U7" i="3" s="1"/>
  <c r="C123" i="12"/>
  <c r="H7" i="1"/>
  <c r="H34" i="1"/>
  <c r="H35" i="1"/>
  <c r="H36" i="1"/>
  <c r="J35" i="46"/>
  <c r="J36" i="46" s="1"/>
  <c r="J35" i="43"/>
  <c r="J36" i="43" s="1"/>
  <c r="K30" i="1"/>
  <c r="K4" i="1"/>
  <c r="L9" i="1"/>
  <c r="F84" i="12"/>
  <c r="F125" i="12"/>
  <c r="D38" i="29"/>
  <c r="E13" i="3"/>
  <c r="Q24" i="1"/>
  <c r="Q18" i="1"/>
  <c r="E124" i="12"/>
  <c r="E83" i="12"/>
  <c r="L82" i="12"/>
  <c r="V4" i="29"/>
  <c r="U9" i="29"/>
  <c r="U10" i="29" s="1"/>
  <c r="C82" i="12"/>
  <c r="N39" i="12"/>
  <c r="B81" i="12"/>
  <c r="B122" i="12"/>
  <c r="B40" i="12" s="1"/>
  <c r="N40" i="12" s="1"/>
  <c r="S19" i="45"/>
  <c r="R23" i="45"/>
  <c r="F7" i="29"/>
  <c r="I6" i="1"/>
  <c r="I8" i="1"/>
  <c r="G38" i="1"/>
  <c r="J4" i="29"/>
  <c r="K9" i="29"/>
  <c r="U38" i="29"/>
  <c r="V13" i="3"/>
  <c r="W30" i="29"/>
  <c r="AC24" i="28"/>
  <c r="AC18" i="28"/>
  <c r="R25" i="45"/>
  <c r="S21" i="45" s="1"/>
  <c r="S25" i="45" s="1"/>
  <c r="T21" i="45" s="1"/>
  <c r="T19" i="41"/>
  <c r="G8" i="29"/>
  <c r="L123" i="12"/>
  <c r="G38" i="28"/>
  <c r="I6" i="28"/>
  <c r="I8" i="28"/>
  <c r="T9" i="28"/>
  <c r="T10" i="28" s="1"/>
  <c r="T11" i="28" s="1"/>
  <c r="T19" i="28" s="1"/>
  <c r="U4" i="28"/>
  <c r="H7" i="28"/>
  <c r="K4" i="28"/>
  <c r="L9" i="28"/>
  <c r="J32" i="46"/>
  <c r="J31" i="46"/>
  <c r="K30" i="46"/>
  <c r="AN29" i="45"/>
  <c r="AN37" i="45" s="1"/>
  <c r="I83" i="12" l="1"/>
  <c r="I124" i="12"/>
  <c r="H42" i="12"/>
  <c r="H84" i="12" s="1"/>
  <c r="K82" i="12"/>
  <c r="K123" i="12"/>
  <c r="D124" i="12"/>
  <c r="D42" i="12" s="1"/>
  <c r="W38" i="28"/>
  <c r="G41" i="12"/>
  <c r="D125" i="12"/>
  <c r="W9" i="3"/>
  <c r="L41" i="12"/>
  <c r="L124" i="12" s="1"/>
  <c r="X34" i="28"/>
  <c r="X36" i="28"/>
  <c r="X35" i="28"/>
  <c r="G83" i="12"/>
  <c r="G124" i="12"/>
  <c r="M124" i="12"/>
  <c r="M42" i="12" s="1"/>
  <c r="M84" i="12" s="1"/>
  <c r="K5" i="28"/>
  <c r="K5" i="29"/>
  <c r="K6" i="29" s="1"/>
  <c r="K5" i="1"/>
  <c r="G36" i="29"/>
  <c r="G34" i="29"/>
  <c r="G35" i="29"/>
  <c r="I9" i="3"/>
  <c r="W36" i="29"/>
  <c r="W34" i="29"/>
  <c r="W35" i="29"/>
  <c r="Y6" i="28"/>
  <c r="Y7" i="28" s="1"/>
  <c r="Y8" i="28"/>
  <c r="J82" i="12"/>
  <c r="J123" i="12"/>
  <c r="I35" i="28"/>
  <c r="I36" i="28"/>
  <c r="I34" i="28"/>
  <c r="H30" i="43"/>
  <c r="H32" i="43" s="1"/>
  <c r="W35" i="1"/>
  <c r="W34" i="1"/>
  <c r="W36" i="1"/>
  <c r="V38" i="1"/>
  <c r="Y5" i="29"/>
  <c r="Y5" i="1"/>
  <c r="S16" i="47"/>
  <c r="Z5" i="28" s="1"/>
  <c r="S24" i="47"/>
  <c r="R25" i="47"/>
  <c r="X6" i="1"/>
  <c r="X7" i="1" s="1"/>
  <c r="X8" i="1"/>
  <c r="X6" i="29"/>
  <c r="X7" i="29" s="1"/>
  <c r="X8" i="29"/>
  <c r="E38" i="29"/>
  <c r="F13" i="3"/>
  <c r="W13" i="3"/>
  <c r="V38" i="29"/>
  <c r="X30" i="29"/>
  <c r="I4" i="29"/>
  <c r="J9" i="29"/>
  <c r="I7" i="1"/>
  <c r="T19" i="45"/>
  <c r="S23" i="45"/>
  <c r="AE17" i="28"/>
  <c r="AE21" i="28" s="1"/>
  <c r="P40" i="12"/>
  <c r="R40" i="12" s="1"/>
  <c r="S40" i="12" s="1"/>
  <c r="S17" i="1"/>
  <c r="S21" i="1" s="1"/>
  <c r="U16" i="46"/>
  <c r="U17" i="46" s="1"/>
  <c r="U16" i="43"/>
  <c r="U17" i="43" s="1"/>
  <c r="U11" i="29"/>
  <c r="U19" i="29" s="1"/>
  <c r="D84" i="12"/>
  <c r="D43" i="12" s="1"/>
  <c r="H8" i="29"/>
  <c r="F43" i="12"/>
  <c r="K35" i="46"/>
  <c r="K36" i="46" s="1"/>
  <c r="K35" i="43"/>
  <c r="K36" i="43" s="1"/>
  <c r="L30" i="1"/>
  <c r="C41" i="12"/>
  <c r="T15" i="2"/>
  <c r="T16" i="2" s="1"/>
  <c r="U28" i="3" s="1"/>
  <c r="G7" i="29"/>
  <c r="U19" i="41"/>
  <c r="I34" i="1"/>
  <c r="I35" i="1"/>
  <c r="I36" i="1"/>
  <c r="J8" i="1"/>
  <c r="J6" i="1"/>
  <c r="J7" i="1" s="1"/>
  <c r="B123" i="12"/>
  <c r="B82" i="12"/>
  <c r="AD17" i="28"/>
  <c r="AD21" i="28" s="1"/>
  <c r="R17" i="1"/>
  <c r="R21" i="1" s="1"/>
  <c r="P39" i="12"/>
  <c r="R39" i="12" s="1"/>
  <c r="S39" i="12" s="1"/>
  <c r="N82" i="12"/>
  <c r="N123" i="12"/>
  <c r="N122" i="12"/>
  <c r="N81" i="12"/>
  <c r="W4" i="29"/>
  <c r="V9" i="29"/>
  <c r="V10" i="29" s="1"/>
  <c r="E42" i="12"/>
  <c r="K9" i="1"/>
  <c r="J4" i="1"/>
  <c r="H38" i="1"/>
  <c r="U9" i="1"/>
  <c r="U10" i="1" s="1"/>
  <c r="V7" i="3" s="1"/>
  <c r="V4" i="1"/>
  <c r="V4" i="28"/>
  <c r="U9" i="28"/>
  <c r="U10" i="28" s="1"/>
  <c r="U11" i="28" s="1"/>
  <c r="U19" i="28" s="1"/>
  <c r="I7" i="28"/>
  <c r="J6" i="28"/>
  <c r="J8" i="28"/>
  <c r="J4" i="28"/>
  <c r="K9" i="28"/>
  <c r="H38" i="28"/>
  <c r="K32" i="46"/>
  <c r="L30" i="46"/>
  <c r="K31" i="46"/>
  <c r="AO29" i="45"/>
  <c r="AO37" i="45" s="1"/>
  <c r="H125" i="12" l="1"/>
  <c r="K41" i="12"/>
  <c r="I42" i="12"/>
  <c r="L84" i="12"/>
  <c r="L83" i="12"/>
  <c r="L42" i="12" s="1"/>
  <c r="J9" i="3"/>
  <c r="M125" i="12"/>
  <c r="M43" i="12" s="1"/>
  <c r="X35" i="29"/>
  <c r="X34" i="29"/>
  <c r="X36" i="29"/>
  <c r="L5" i="29"/>
  <c r="L6" i="29" s="1"/>
  <c r="L5" i="28"/>
  <c r="L5" i="1"/>
  <c r="Y35" i="28"/>
  <c r="Y34" i="28"/>
  <c r="Y36" i="28"/>
  <c r="H35" i="29"/>
  <c r="H34" i="29"/>
  <c r="H36" i="29"/>
  <c r="M126" i="12"/>
  <c r="Z8" i="28"/>
  <c r="Z6" i="28"/>
  <c r="Z7" i="28" s="1"/>
  <c r="X9" i="3"/>
  <c r="J41" i="12"/>
  <c r="G42" i="12"/>
  <c r="X38" i="28"/>
  <c r="H31" i="43"/>
  <c r="J36" i="28"/>
  <c r="J34" i="28"/>
  <c r="J35" i="28"/>
  <c r="I30" i="43"/>
  <c r="I31" i="43" s="1"/>
  <c r="T24" i="47"/>
  <c r="S25" i="47"/>
  <c r="Y6" i="1"/>
  <c r="Y7" i="1" s="1"/>
  <c r="Y8" i="1"/>
  <c r="W38" i="1"/>
  <c r="X35" i="1"/>
  <c r="X34" i="1"/>
  <c r="X36" i="1"/>
  <c r="Z5" i="29"/>
  <c r="Z5" i="1"/>
  <c r="T16" i="47"/>
  <c r="AA5" i="28" s="1"/>
  <c r="Y8" i="29"/>
  <c r="Y6" i="29"/>
  <c r="Y7" i="29" s="1"/>
  <c r="D85" i="12"/>
  <c r="D126" i="12"/>
  <c r="D44" i="12" s="1"/>
  <c r="D127" i="12" s="1"/>
  <c r="U15" i="2"/>
  <c r="U16" i="2" s="1"/>
  <c r="V28" i="3" s="1"/>
  <c r="I4" i="1"/>
  <c r="J9" i="1"/>
  <c r="J10" i="1" s="1"/>
  <c r="I8" i="29"/>
  <c r="V16" i="43"/>
  <c r="V17" i="43" s="1"/>
  <c r="V16" i="46"/>
  <c r="V17" i="46" s="1"/>
  <c r="V11" i="29"/>
  <c r="V19" i="29" s="1"/>
  <c r="AD24" i="28"/>
  <c r="AD18" i="28"/>
  <c r="B41" i="12"/>
  <c r="K6" i="1"/>
  <c r="K7" i="1" s="1"/>
  <c r="K8" i="1"/>
  <c r="V19" i="41"/>
  <c r="H43" i="12"/>
  <c r="C83" i="12"/>
  <c r="C124" i="12"/>
  <c r="C42" i="12" s="1"/>
  <c r="C125" i="12" s="1"/>
  <c r="M85" i="12"/>
  <c r="L35" i="46"/>
  <c r="L36" i="46" s="1"/>
  <c r="L35" i="43"/>
  <c r="L36" i="43" s="1"/>
  <c r="M30" i="1"/>
  <c r="S24" i="1"/>
  <c r="S18" i="1"/>
  <c r="AE24" i="28"/>
  <c r="AE18" i="28"/>
  <c r="U19" i="45"/>
  <c r="T23" i="45"/>
  <c r="H4" i="29"/>
  <c r="I9" i="29"/>
  <c r="Y30" i="29"/>
  <c r="W4" i="1"/>
  <c r="V9" i="1"/>
  <c r="V10" i="1" s="1"/>
  <c r="W7" i="3" s="1"/>
  <c r="E84" i="12"/>
  <c r="E125" i="12"/>
  <c r="X4" i="29"/>
  <c r="W9" i="29"/>
  <c r="W10" i="29" s="1"/>
  <c r="R24" i="1"/>
  <c r="R18" i="1"/>
  <c r="F38" i="29"/>
  <c r="G13" i="3"/>
  <c r="J34" i="1"/>
  <c r="J35" i="1"/>
  <c r="J36" i="1"/>
  <c r="I38" i="1"/>
  <c r="L125" i="12"/>
  <c r="F85" i="12"/>
  <c r="F126" i="12"/>
  <c r="H7" i="29"/>
  <c r="W38" i="29"/>
  <c r="X13" i="3"/>
  <c r="T25" i="45"/>
  <c r="U21" i="45" s="1"/>
  <c r="K6" i="28"/>
  <c r="K8" i="28"/>
  <c r="I38" i="28"/>
  <c r="J7" i="28"/>
  <c r="V9" i="28"/>
  <c r="V10" i="28" s="1"/>
  <c r="V11" i="28" s="1"/>
  <c r="V19" i="28" s="1"/>
  <c r="W4" i="28"/>
  <c r="I4" i="28"/>
  <c r="J9" i="28"/>
  <c r="L32" i="46"/>
  <c r="L31" i="46"/>
  <c r="M30" i="46"/>
  <c r="AP29" i="45"/>
  <c r="AP37" i="45" s="1"/>
  <c r="L43" i="12" l="1"/>
  <c r="M44" i="12"/>
  <c r="I125" i="12"/>
  <c r="I126" i="12"/>
  <c r="I84" i="12"/>
  <c r="I43" i="12" s="1"/>
  <c r="I85" i="12" s="1"/>
  <c r="X38" i="1"/>
  <c r="K124" i="12"/>
  <c r="K42" i="12" s="1"/>
  <c r="K84" i="12" s="1"/>
  <c r="K83" i="12"/>
  <c r="U25" i="45"/>
  <c r="V21" i="45" s="1"/>
  <c r="F44" i="12"/>
  <c r="F127" i="12" s="1"/>
  <c r="K9" i="3"/>
  <c r="C84" i="12"/>
  <c r="Y34" i="29"/>
  <c r="Y35" i="29"/>
  <c r="Y36" i="29"/>
  <c r="Y9" i="3"/>
  <c r="I32" i="43"/>
  <c r="G125" i="12"/>
  <c r="G84" i="12"/>
  <c r="Z36" i="28"/>
  <c r="Z35" i="28"/>
  <c r="Z34" i="28"/>
  <c r="I34" i="29"/>
  <c r="I35" i="29"/>
  <c r="I36" i="29"/>
  <c r="AA8" i="28"/>
  <c r="AA6" i="28"/>
  <c r="AA7" i="28" s="1"/>
  <c r="J83" i="12"/>
  <c r="J124" i="12"/>
  <c r="E43" i="12"/>
  <c r="E126" i="12" s="1"/>
  <c r="M5" i="28"/>
  <c r="M5" i="29"/>
  <c r="M6" i="29" s="1"/>
  <c r="M5" i="1"/>
  <c r="Y38" i="28"/>
  <c r="K35" i="28"/>
  <c r="K36" i="28"/>
  <c r="K34" i="28"/>
  <c r="J30" i="43"/>
  <c r="J31" i="43" s="1"/>
  <c r="AA5" i="29"/>
  <c r="AA5" i="1"/>
  <c r="U16" i="47"/>
  <c r="AB5" i="28" s="1"/>
  <c r="Z6" i="29"/>
  <c r="Z7" i="29" s="1"/>
  <c r="Z8" i="29"/>
  <c r="Z8" i="1"/>
  <c r="Z6" i="1"/>
  <c r="Z7" i="1" s="1"/>
  <c r="Y34" i="1"/>
  <c r="Y36" i="1"/>
  <c r="Y35" i="1"/>
  <c r="U24" i="47"/>
  <c r="U25" i="47" s="1"/>
  <c r="T25" i="47"/>
  <c r="M86" i="12"/>
  <c r="M127" i="12"/>
  <c r="J10" i="28"/>
  <c r="J11" i="28" s="1"/>
  <c r="J19" i="28" s="1"/>
  <c r="F45" i="12"/>
  <c r="F86" i="12"/>
  <c r="L85" i="12"/>
  <c r="L126" i="12"/>
  <c r="J38" i="1"/>
  <c r="W16" i="46"/>
  <c r="W17" i="46" s="1"/>
  <c r="W16" i="43"/>
  <c r="W17" i="43" s="1"/>
  <c r="W11" i="29"/>
  <c r="W19" i="29" s="1"/>
  <c r="J8" i="29"/>
  <c r="V15" i="2"/>
  <c r="V16" i="2" s="1"/>
  <c r="W28" i="3" s="1"/>
  <c r="G4" i="29"/>
  <c r="H9" i="29"/>
  <c r="K125" i="12"/>
  <c r="C43" i="12"/>
  <c r="H85" i="12"/>
  <c r="H126" i="12"/>
  <c r="H44" i="12" s="1"/>
  <c r="W19" i="41"/>
  <c r="K10" i="1"/>
  <c r="J11" i="1"/>
  <c r="J19" i="1" s="1"/>
  <c r="J15" i="2"/>
  <c r="H10" i="29"/>
  <c r="G38" i="29"/>
  <c r="H13" i="3"/>
  <c r="Y4" i="29"/>
  <c r="X9" i="29"/>
  <c r="X10" i="29" s="1"/>
  <c r="W9" i="1"/>
  <c r="W10" i="1" s="1"/>
  <c r="X7" i="3" s="1"/>
  <c r="X4" i="1"/>
  <c r="Y13" i="3"/>
  <c r="X38" i="29"/>
  <c r="Z30" i="29"/>
  <c r="V19" i="45"/>
  <c r="U23" i="45"/>
  <c r="M35" i="46"/>
  <c r="M36" i="46" s="1"/>
  <c r="M35" i="43"/>
  <c r="M36" i="43" s="1"/>
  <c r="N30" i="1"/>
  <c r="K34" i="1"/>
  <c r="K35" i="1"/>
  <c r="K36" i="1"/>
  <c r="L9" i="3" s="1"/>
  <c r="L6" i="1"/>
  <c r="L8" i="1"/>
  <c r="N41" i="12"/>
  <c r="B124" i="12"/>
  <c r="B83" i="12"/>
  <c r="I7" i="29"/>
  <c r="I9" i="1"/>
  <c r="I10" i="1" s="1"/>
  <c r="H4" i="1"/>
  <c r="D86" i="12"/>
  <c r="D45" i="12" s="1"/>
  <c r="J38" i="28"/>
  <c r="L6" i="28"/>
  <c r="L8" i="28"/>
  <c r="K7" i="28"/>
  <c r="K10" i="28" s="1"/>
  <c r="K11" i="28" s="1"/>
  <c r="K19" i="28" s="1"/>
  <c r="H4" i="28"/>
  <c r="I9" i="28"/>
  <c r="I10" i="28" s="1"/>
  <c r="I11" i="28" s="1"/>
  <c r="I19" i="28" s="1"/>
  <c r="X4" i="28"/>
  <c r="W9" i="28"/>
  <c r="W10" i="28" s="1"/>
  <c r="W11" i="28" s="1"/>
  <c r="W19" i="28" s="1"/>
  <c r="M32" i="46"/>
  <c r="N30" i="46"/>
  <c r="M31" i="46"/>
  <c r="AQ29" i="45"/>
  <c r="AQ37" i="45" s="1"/>
  <c r="I44" i="12" l="1"/>
  <c r="M45" i="12"/>
  <c r="J42" i="12"/>
  <c r="J125" i="12" s="1"/>
  <c r="N5" i="28"/>
  <c r="N5" i="29"/>
  <c r="N6" i="29" s="1"/>
  <c r="N5" i="1"/>
  <c r="E85" i="12"/>
  <c r="E44" i="12" s="1"/>
  <c r="AB6" i="28"/>
  <c r="AB7" i="28" s="1"/>
  <c r="AB8" i="28"/>
  <c r="G43" i="12"/>
  <c r="J36" i="29"/>
  <c r="J34" i="29"/>
  <c r="J35" i="29"/>
  <c r="L44" i="12"/>
  <c r="L127" i="12" s="1"/>
  <c r="Z9" i="3"/>
  <c r="Z36" i="29"/>
  <c r="Z34" i="29"/>
  <c r="Z35" i="29"/>
  <c r="J84" i="12"/>
  <c r="J43" i="12" s="1"/>
  <c r="AA34" i="28"/>
  <c r="AA35" i="28"/>
  <c r="AA36" i="28"/>
  <c r="Z38" i="28"/>
  <c r="L36" i="28"/>
  <c r="L34" i="28"/>
  <c r="L35" i="28"/>
  <c r="K30" i="43"/>
  <c r="J32" i="43"/>
  <c r="Y38" i="1"/>
  <c r="Z34" i="1"/>
  <c r="Z35" i="1"/>
  <c r="Z36" i="1"/>
  <c r="AA8" i="1"/>
  <c r="AA6" i="1"/>
  <c r="AA7" i="1" s="1"/>
  <c r="AB5" i="29"/>
  <c r="V16" i="47"/>
  <c r="AC5" i="28" s="1"/>
  <c r="AB5" i="1"/>
  <c r="AA6" i="29"/>
  <c r="AA7" i="29" s="1"/>
  <c r="AA8" i="29"/>
  <c r="D87" i="12"/>
  <c r="D128" i="12"/>
  <c r="E127" i="12"/>
  <c r="E86" i="12"/>
  <c r="I11" i="1"/>
  <c r="I19" i="1" s="1"/>
  <c r="I15" i="2"/>
  <c r="I10" i="29"/>
  <c r="B42" i="12"/>
  <c r="L34" i="1"/>
  <c r="L35" i="1"/>
  <c r="L36" i="1"/>
  <c r="M6" i="1"/>
  <c r="M7" i="1" s="1"/>
  <c r="M8" i="1"/>
  <c r="W19" i="45"/>
  <c r="V23" i="45"/>
  <c r="Y38" i="29"/>
  <c r="Z13" i="3"/>
  <c r="AA30" i="29"/>
  <c r="W15" i="2"/>
  <c r="W16" i="2" s="1"/>
  <c r="X28" i="3" s="1"/>
  <c r="K8" i="29"/>
  <c r="X16" i="43"/>
  <c r="X17" i="43" s="1"/>
  <c r="X16" i="46"/>
  <c r="X17" i="46" s="1"/>
  <c r="X11" i="29"/>
  <c r="X19" i="29" s="1"/>
  <c r="V25" i="45"/>
  <c r="W21" i="45" s="1"/>
  <c r="J16" i="2"/>
  <c r="K28" i="3" s="1"/>
  <c r="K15" i="2"/>
  <c r="K16" i="2" s="1"/>
  <c r="L28" i="3" s="1"/>
  <c r="K11" i="1"/>
  <c r="K19" i="1" s="1"/>
  <c r="X19" i="41"/>
  <c r="K43" i="12"/>
  <c r="J7" i="29"/>
  <c r="J10" i="29" s="1"/>
  <c r="L86" i="12"/>
  <c r="H38" i="29"/>
  <c r="I13" i="3"/>
  <c r="G4" i="1"/>
  <c r="H9" i="1"/>
  <c r="H10" i="1" s="1"/>
  <c r="AF17" i="28"/>
  <c r="AF21" i="28" s="1"/>
  <c r="T17" i="1"/>
  <c r="T21" i="1" s="1"/>
  <c r="P41" i="12"/>
  <c r="R41" i="12" s="1"/>
  <c r="S41" i="12" s="1"/>
  <c r="N124" i="12"/>
  <c r="N83" i="12"/>
  <c r="L7" i="1"/>
  <c r="L10" i="1" s="1"/>
  <c r="K38" i="1"/>
  <c r="N35" i="46"/>
  <c r="N36" i="46" s="1"/>
  <c r="N35" i="43"/>
  <c r="N36" i="43" s="1"/>
  <c r="O30" i="1"/>
  <c r="Y4" i="1"/>
  <c r="X9" i="1"/>
  <c r="X10" i="1" s="1"/>
  <c r="Y7" i="3" s="1"/>
  <c r="Z4" i="29"/>
  <c r="Y9" i="29"/>
  <c r="Y10" i="29" s="1"/>
  <c r="H16" i="43"/>
  <c r="H16" i="46"/>
  <c r="H11" i="29"/>
  <c r="H19" i="29" s="1"/>
  <c r="H127" i="12"/>
  <c r="H86" i="12"/>
  <c r="C85" i="12"/>
  <c r="C126" i="12"/>
  <c r="C44" i="12" s="1"/>
  <c r="F4" i="29"/>
  <c r="G9" i="29"/>
  <c r="G10" i="29" s="1"/>
  <c r="F87" i="12"/>
  <c r="F128" i="12"/>
  <c r="F46" i="12" s="1"/>
  <c r="M87" i="12"/>
  <c r="M128" i="12"/>
  <c r="M46" i="12" s="1"/>
  <c r="M6" i="28"/>
  <c r="M8" i="28"/>
  <c r="K38" i="28"/>
  <c r="Y4" i="28"/>
  <c r="X9" i="28"/>
  <c r="X10" i="28" s="1"/>
  <c r="X11" i="28" s="1"/>
  <c r="X19" i="28" s="1"/>
  <c r="N6" i="28"/>
  <c r="N8" i="28"/>
  <c r="L7" i="28"/>
  <c r="L10" i="28" s="1"/>
  <c r="L11" i="28" s="1"/>
  <c r="G4" i="28"/>
  <c r="H9" i="28"/>
  <c r="H10" i="28" s="1"/>
  <c r="H11" i="28" s="1"/>
  <c r="H19" i="28" s="1"/>
  <c r="N31" i="46"/>
  <c r="N32" i="46"/>
  <c r="O30" i="46"/>
  <c r="AR29" i="45"/>
  <c r="AR37" i="45" s="1"/>
  <c r="W25" i="45" l="1"/>
  <c r="X21" i="45" s="1"/>
  <c r="M9" i="3"/>
  <c r="L45" i="12"/>
  <c r="I127" i="12"/>
  <c r="I45" i="12" s="1"/>
  <c r="I87" i="12" s="1"/>
  <c r="I86" i="12"/>
  <c r="J126" i="12"/>
  <c r="J85" i="12"/>
  <c r="J44" i="12" s="1"/>
  <c r="J127" i="12" s="1"/>
  <c r="K36" i="29"/>
  <c r="K35" i="29"/>
  <c r="K34" i="29"/>
  <c r="G85" i="12"/>
  <c r="G126" i="12"/>
  <c r="AA36" i="29"/>
  <c r="AA35" i="29"/>
  <c r="AA34" i="29"/>
  <c r="AB35" i="28"/>
  <c r="AB36" i="28"/>
  <c r="AB34" i="28"/>
  <c r="AB38" i="28" s="1"/>
  <c r="AC6" i="28"/>
  <c r="AC7" i="28" s="1"/>
  <c r="AC8" i="28"/>
  <c r="AA9" i="3"/>
  <c r="AA38" i="28"/>
  <c r="N36" i="28"/>
  <c r="N34" i="28"/>
  <c r="N35" i="28"/>
  <c r="M35" i="28"/>
  <c r="M36" i="28"/>
  <c r="M34" i="28"/>
  <c r="I7" i="3"/>
  <c r="K32" i="43"/>
  <c r="L30" i="43"/>
  <c r="K31" i="43"/>
  <c r="AC5" i="29"/>
  <c r="AC5" i="1"/>
  <c r="W16" i="47"/>
  <c r="AD5" i="28" s="1"/>
  <c r="Z38" i="1"/>
  <c r="AB8" i="1"/>
  <c r="AB6" i="1"/>
  <c r="AB7" i="1" s="1"/>
  <c r="AB6" i="29"/>
  <c r="AB7" i="29" s="1"/>
  <c r="AB8" i="29"/>
  <c r="AA36" i="1"/>
  <c r="AA34" i="1"/>
  <c r="AA35" i="1"/>
  <c r="L11" i="1"/>
  <c r="L15" i="2"/>
  <c r="L16" i="2" s="1"/>
  <c r="M28" i="3" s="1"/>
  <c r="J16" i="43"/>
  <c r="J16" i="46"/>
  <c r="J11" i="29"/>
  <c r="J19" i="29" s="1"/>
  <c r="K8" i="3" s="1"/>
  <c r="K7" i="3"/>
  <c r="L38" i="28"/>
  <c r="E4" i="29"/>
  <c r="F9" i="29"/>
  <c r="F10" i="29" s="1"/>
  <c r="H45" i="12"/>
  <c r="AA4" i="29"/>
  <c r="Z9" i="29"/>
  <c r="Z10" i="29" s="1"/>
  <c r="Y9" i="1"/>
  <c r="Y10" i="1" s="1"/>
  <c r="Z7" i="3" s="1"/>
  <c r="Z4" i="1"/>
  <c r="O35" i="46"/>
  <c r="O36" i="46" s="1"/>
  <c r="O35" i="43"/>
  <c r="O36" i="43" s="1"/>
  <c r="P30" i="1"/>
  <c r="O11" i="1"/>
  <c r="AF18" i="28"/>
  <c r="AF24" i="28"/>
  <c r="G9" i="1"/>
  <c r="G10" i="1" s="1"/>
  <c r="F4" i="1"/>
  <c r="K126" i="12"/>
  <c r="K85" i="12"/>
  <c r="Y19" i="41"/>
  <c r="AA13" i="3"/>
  <c r="Z38" i="29"/>
  <c r="M34" i="1"/>
  <c r="M35" i="1"/>
  <c r="M36" i="1"/>
  <c r="M10" i="1"/>
  <c r="N42" i="12"/>
  <c r="B84" i="12"/>
  <c r="B125" i="12"/>
  <c r="E45" i="12"/>
  <c r="D46" i="12"/>
  <c r="M129" i="12"/>
  <c r="M88" i="12"/>
  <c r="F129" i="12"/>
  <c r="F88" i="12"/>
  <c r="G16" i="46"/>
  <c r="G16" i="43"/>
  <c r="G11" i="29"/>
  <c r="G19" i="29" s="1"/>
  <c r="C127" i="12"/>
  <c r="C86" i="12"/>
  <c r="H17" i="46"/>
  <c r="Y16" i="46"/>
  <c r="Y17" i="46" s="1"/>
  <c r="Y16" i="43"/>
  <c r="Y17" i="43" s="1"/>
  <c r="Y11" i="29"/>
  <c r="Y19" i="29" s="1"/>
  <c r="L8" i="29"/>
  <c r="X15" i="2"/>
  <c r="X16" i="2" s="1"/>
  <c r="Y28" i="3" s="1"/>
  <c r="T24" i="1"/>
  <c r="T18" i="1"/>
  <c r="H11" i="1"/>
  <c r="H19" i="1" s="1"/>
  <c r="I8" i="3" s="1"/>
  <c r="I52" i="3" s="1"/>
  <c r="H15" i="2"/>
  <c r="L128" i="12"/>
  <c r="L87" i="12"/>
  <c r="K7" i="29"/>
  <c r="K10" i="29" s="1"/>
  <c r="AB30" i="29"/>
  <c r="X19" i="45"/>
  <c r="X25" i="45" s="1"/>
  <c r="Y21" i="45" s="1"/>
  <c r="W23" i="45"/>
  <c r="N8" i="1"/>
  <c r="N6" i="1"/>
  <c r="L38" i="1"/>
  <c r="I16" i="46"/>
  <c r="I17" i="46" s="1"/>
  <c r="I16" i="43"/>
  <c r="I17" i="43" s="1"/>
  <c r="I11" i="29"/>
  <c r="I19" i="29" s="1"/>
  <c r="J8" i="3" s="1"/>
  <c r="J7" i="3"/>
  <c r="I38" i="29"/>
  <c r="J13" i="3"/>
  <c r="M7" i="28"/>
  <c r="M10" i="28" s="1"/>
  <c r="M11" i="28" s="1"/>
  <c r="N7" i="28"/>
  <c r="N10" i="28" s="1"/>
  <c r="N11" i="28" s="1"/>
  <c r="Z4" i="28"/>
  <c r="Y9" i="28"/>
  <c r="Y10" i="28" s="1"/>
  <c r="Y11" i="28" s="1"/>
  <c r="Y19" i="28" s="1"/>
  <c r="F4" i="28"/>
  <c r="G9" i="28"/>
  <c r="G10" i="28" s="1"/>
  <c r="G11" i="28" s="1"/>
  <c r="G19" i="28" s="1"/>
  <c r="O32" i="46"/>
  <c r="P30" i="46"/>
  <c r="O31" i="46"/>
  <c r="AS29" i="45"/>
  <c r="AS37" i="45" s="1"/>
  <c r="AT29" i="45"/>
  <c r="AT37" i="45" s="1"/>
  <c r="I128" i="12" l="1"/>
  <c r="I46" i="12" s="1"/>
  <c r="J86" i="12"/>
  <c r="J45" i="12" s="1"/>
  <c r="G44" i="12"/>
  <c r="G127" i="12" s="1"/>
  <c r="L35" i="29"/>
  <c r="L34" i="29"/>
  <c r="L36" i="29"/>
  <c r="AB9" i="3"/>
  <c r="L46" i="12"/>
  <c r="L88" i="12" s="1"/>
  <c r="N9" i="3"/>
  <c r="AB35" i="29"/>
  <c r="AB34" i="29"/>
  <c r="AB36" i="29"/>
  <c r="AD6" i="28"/>
  <c r="AD7" i="28" s="1"/>
  <c r="AD8" i="28"/>
  <c r="AC36" i="28"/>
  <c r="AC35" i="28"/>
  <c r="AC34" i="28"/>
  <c r="J52" i="3"/>
  <c r="H7" i="3"/>
  <c r="L31" i="43"/>
  <c r="M30" i="43"/>
  <c r="L32" i="43"/>
  <c r="AA38" i="1"/>
  <c r="AC6" i="1"/>
  <c r="AC7" i="1" s="1"/>
  <c r="AC8" i="1"/>
  <c r="AB35" i="1"/>
  <c r="AB34" i="1"/>
  <c r="AB36" i="1"/>
  <c r="AD5" i="29"/>
  <c r="X16" i="47"/>
  <c r="AE5" i="28" s="1"/>
  <c r="AD5" i="1"/>
  <c r="AC8" i="29"/>
  <c r="AC6" i="29"/>
  <c r="AC7" i="29" s="1"/>
  <c r="N7" i="1"/>
  <c r="N10" i="1" s="1"/>
  <c r="AA38" i="29"/>
  <c r="AB13" i="3"/>
  <c r="C45" i="12"/>
  <c r="F47" i="12"/>
  <c r="M47" i="12"/>
  <c r="E87" i="12"/>
  <c r="E128" i="12"/>
  <c r="I16" i="2"/>
  <c r="J28" i="3" s="1"/>
  <c r="B43" i="12"/>
  <c r="AG17" i="28"/>
  <c r="AG21" i="28" s="1"/>
  <c r="U17" i="1"/>
  <c r="U21" i="1" s="1"/>
  <c r="P42" i="12"/>
  <c r="R42" i="12" s="1"/>
  <c r="S42" i="12" s="1"/>
  <c r="N125" i="12"/>
  <c r="N84" i="12"/>
  <c r="M38" i="1"/>
  <c r="Z19" i="41"/>
  <c r="K44" i="12"/>
  <c r="G11" i="1"/>
  <c r="G19" i="1" s="1"/>
  <c r="H8" i="3" s="1"/>
  <c r="H52" i="3" s="1"/>
  <c r="G15" i="2"/>
  <c r="P35" i="46"/>
  <c r="P36" i="46" s="1"/>
  <c r="P35" i="43"/>
  <c r="P36" i="43" s="1"/>
  <c r="Q30" i="1"/>
  <c r="P11" i="1"/>
  <c r="P19" i="1" s="1"/>
  <c r="Q8" i="3" s="1"/>
  <c r="Q52" i="3" s="1"/>
  <c r="Y15" i="2"/>
  <c r="Y16" i="2" s="1"/>
  <c r="Z28" i="3" s="1"/>
  <c r="N8" i="29"/>
  <c r="AB4" i="29"/>
  <c r="AA9" i="29"/>
  <c r="AA10" i="29" s="1"/>
  <c r="H128" i="12"/>
  <c r="H87" i="12"/>
  <c r="D4" i="29"/>
  <c r="E9" i="29"/>
  <c r="E10" i="29" s="1"/>
  <c r="J17" i="46"/>
  <c r="N34" i="1"/>
  <c r="N35" i="1"/>
  <c r="N36" i="1"/>
  <c r="Y19" i="45"/>
  <c r="X23" i="45"/>
  <c r="AC30" i="29"/>
  <c r="K16" i="46"/>
  <c r="K17" i="46" s="1"/>
  <c r="K16" i="43"/>
  <c r="K17" i="43" s="1"/>
  <c r="K11" i="29"/>
  <c r="K19" i="29" s="1"/>
  <c r="L8" i="3" s="1"/>
  <c r="L7" i="3"/>
  <c r="J38" i="29"/>
  <c r="K13" i="3"/>
  <c r="K52" i="3" s="1"/>
  <c r="L7" i="29"/>
  <c r="L10" i="29" s="1"/>
  <c r="D88" i="12"/>
  <c r="D129" i="12"/>
  <c r="M15" i="2"/>
  <c r="M16" i="2" s="1"/>
  <c r="N28" i="3" s="1"/>
  <c r="M11" i="1"/>
  <c r="I129" i="12"/>
  <c r="I88" i="12"/>
  <c r="E4" i="1"/>
  <c r="F9" i="1"/>
  <c r="F10" i="1" s="1"/>
  <c r="AA4" i="1"/>
  <c r="Z9" i="1"/>
  <c r="Z10" i="1" s="1"/>
  <c r="AA7" i="3" s="1"/>
  <c r="M8" i="29"/>
  <c r="Z16" i="43"/>
  <c r="Z17" i="43" s="1"/>
  <c r="Z16" i="46"/>
  <c r="Z17" i="46" s="1"/>
  <c r="Z11" i="29"/>
  <c r="Z19" i="29" s="1"/>
  <c r="H17" i="43"/>
  <c r="F16" i="43"/>
  <c r="F16" i="46"/>
  <c r="F11" i="29"/>
  <c r="F19" i="29" s="1"/>
  <c r="J17" i="43"/>
  <c r="N38" i="28"/>
  <c r="E4" i="28"/>
  <c r="F9" i="28"/>
  <c r="F10" i="28" s="1"/>
  <c r="F11" i="28" s="1"/>
  <c r="F19" i="28" s="1"/>
  <c r="M38" i="28"/>
  <c r="Z9" i="28"/>
  <c r="Z10" i="28" s="1"/>
  <c r="Z11" i="28" s="1"/>
  <c r="Z19" i="28" s="1"/>
  <c r="AA4" i="28"/>
  <c r="P31" i="46"/>
  <c r="P32" i="46"/>
  <c r="Q30" i="46"/>
  <c r="J87" i="12" l="1"/>
  <c r="J128" i="12"/>
  <c r="J46" i="12" s="1"/>
  <c r="J129" i="12" s="1"/>
  <c r="O9" i="3"/>
  <c r="G86" i="12"/>
  <c r="AC9" i="3"/>
  <c r="AC38" i="28"/>
  <c r="M34" i="29"/>
  <c r="M36" i="29"/>
  <c r="M35" i="29"/>
  <c r="AC34" i="29"/>
  <c r="AC36" i="29"/>
  <c r="AC35" i="29"/>
  <c r="AD34" i="28"/>
  <c r="AD35" i="28"/>
  <c r="AD36" i="28"/>
  <c r="G45" i="12"/>
  <c r="J88" i="12"/>
  <c r="J47" i="12" s="1"/>
  <c r="I47" i="12"/>
  <c r="L129" i="12"/>
  <c r="L47" i="12" s="1"/>
  <c r="L130" i="12" s="1"/>
  <c r="N34" i="29"/>
  <c r="N35" i="29"/>
  <c r="N36" i="29"/>
  <c r="AE8" i="28"/>
  <c r="AE6" i="28"/>
  <c r="AE7" i="28" s="1"/>
  <c r="G7" i="3"/>
  <c r="M32" i="43"/>
  <c r="AB38" i="1"/>
  <c r="N30" i="43"/>
  <c r="M31" i="43"/>
  <c r="AE5" i="29"/>
  <c r="AE5" i="1"/>
  <c r="Y16" i="47"/>
  <c r="AF5" i="28" s="1"/>
  <c r="AD8" i="1"/>
  <c r="AD6" i="1"/>
  <c r="AD7" i="1" s="1"/>
  <c r="AD6" i="29"/>
  <c r="AD7" i="29" s="1"/>
  <c r="AD8" i="29"/>
  <c r="AC34" i="1"/>
  <c r="AC36" i="1"/>
  <c r="AD9" i="3" s="1"/>
  <c r="AC35" i="1"/>
  <c r="N15" i="2"/>
  <c r="N11" i="1"/>
  <c r="M7" i="29"/>
  <c r="M10" i="29" s="1"/>
  <c r="I89" i="12"/>
  <c r="I130" i="12"/>
  <c r="I48" i="12" s="1"/>
  <c r="L16" i="43"/>
  <c r="L17" i="43" s="1"/>
  <c r="L16" i="46"/>
  <c r="L17" i="46" s="1"/>
  <c r="L11" i="29"/>
  <c r="M7" i="3"/>
  <c r="Z15" i="2"/>
  <c r="Z16" i="2" s="1"/>
  <c r="AA28" i="3" s="1"/>
  <c r="F11" i="1"/>
  <c r="F19" i="1" s="1"/>
  <c r="G8" i="3" s="1"/>
  <c r="G52" i="3" s="1"/>
  <c r="G53" i="3" s="1"/>
  <c r="F15" i="2"/>
  <c r="G16" i="2" s="1"/>
  <c r="H28" i="3" s="1"/>
  <c r="D47" i="12"/>
  <c r="G17" i="43"/>
  <c r="AC13" i="3"/>
  <c r="AB38" i="29"/>
  <c r="Z19" i="45"/>
  <c r="Y23" i="45"/>
  <c r="C4" i="29"/>
  <c r="D9" i="29"/>
  <c r="D10" i="29" s="1"/>
  <c r="H46" i="12"/>
  <c r="AC4" i="29"/>
  <c r="AB9" i="29"/>
  <c r="AB10" i="29" s="1"/>
  <c r="N7" i="29"/>
  <c r="N10" i="29" s="1"/>
  <c r="Q35" i="46"/>
  <c r="Q36" i="46" s="1"/>
  <c r="Q35" i="43"/>
  <c r="Q36" i="43" s="1"/>
  <c r="R30" i="1"/>
  <c r="Q11" i="1"/>
  <c r="Q19" i="1" s="1"/>
  <c r="R8" i="3" s="1"/>
  <c r="R52" i="3" s="1"/>
  <c r="U24" i="1"/>
  <c r="U18" i="1"/>
  <c r="N43" i="12"/>
  <c r="B126" i="12"/>
  <c r="B85" i="12"/>
  <c r="E46" i="12"/>
  <c r="M89" i="12"/>
  <c r="M130" i="12"/>
  <c r="F89" i="12"/>
  <c r="F130" i="12"/>
  <c r="C87" i="12"/>
  <c r="C128" i="12"/>
  <c r="AA9" i="1"/>
  <c r="AA10" i="1" s="1"/>
  <c r="AB7" i="3" s="1"/>
  <c r="AB4" i="1"/>
  <c r="E9" i="1"/>
  <c r="E10" i="1" s="1"/>
  <c r="D4" i="1"/>
  <c r="L89" i="12"/>
  <c r="AD30" i="29"/>
  <c r="N38" i="1"/>
  <c r="E16" i="46"/>
  <c r="E16" i="43"/>
  <c r="E11" i="29"/>
  <c r="E19" i="29" s="1"/>
  <c r="AA16" i="46"/>
  <c r="AA17" i="46" s="1"/>
  <c r="AA16" i="43"/>
  <c r="AA17" i="43" s="1"/>
  <c r="AA11" i="29"/>
  <c r="AA19" i="29" s="1"/>
  <c r="K127" i="12"/>
  <c r="K45" i="12" s="1"/>
  <c r="K86" i="12"/>
  <c r="AA19" i="41"/>
  <c r="AG24" i="28"/>
  <c r="AG18" i="28"/>
  <c r="G17" i="46"/>
  <c r="H16" i="2"/>
  <c r="I28" i="3" s="1"/>
  <c r="K38" i="29"/>
  <c r="L13" i="3"/>
  <c r="L52" i="3" s="1"/>
  <c r="Y25" i="45"/>
  <c r="Z21" i="45" s="1"/>
  <c r="D4" i="28"/>
  <c r="E9" i="28"/>
  <c r="E10" i="28" s="1"/>
  <c r="E11" i="28" s="1"/>
  <c r="E19" i="28" s="1"/>
  <c r="AB4" i="28"/>
  <c r="AA9" i="28"/>
  <c r="AA10" i="28" s="1"/>
  <c r="AA11" i="28" s="1"/>
  <c r="AA19" i="28" s="1"/>
  <c r="Q32" i="46"/>
  <c r="R30" i="46"/>
  <c r="Q31" i="46"/>
  <c r="AD38" i="28" l="1"/>
  <c r="J130" i="12"/>
  <c r="J89" i="12"/>
  <c r="AD34" i="29"/>
  <c r="AD35" i="29"/>
  <c r="AD36" i="29"/>
  <c r="AF6" i="28"/>
  <c r="AF7" i="28" s="1"/>
  <c r="AF8" i="28"/>
  <c r="Z25" i="45"/>
  <c r="AA21" i="45" s="1"/>
  <c r="G128" i="12"/>
  <c r="G87" i="12"/>
  <c r="AE36" i="28"/>
  <c r="AE34" i="28"/>
  <c r="AE35" i="28"/>
  <c r="N31" i="43"/>
  <c r="F7" i="3"/>
  <c r="N32" i="43"/>
  <c r="O30" i="43"/>
  <c r="AC38" i="1"/>
  <c r="AD34" i="1"/>
  <c r="AD36" i="1"/>
  <c r="AD35" i="1"/>
  <c r="AE6" i="1"/>
  <c r="AE7" i="1" s="1"/>
  <c r="AE8" i="1"/>
  <c r="AF5" i="29"/>
  <c r="Z16" i="47"/>
  <c r="AG5" i="28" s="1"/>
  <c r="AF5" i="1"/>
  <c r="AE6" i="29"/>
  <c r="AE7" i="29" s="1"/>
  <c r="AE8" i="29"/>
  <c r="M16" i="46"/>
  <c r="M17" i="46" s="1"/>
  <c r="M16" i="43"/>
  <c r="M17" i="43" s="1"/>
  <c r="M11" i="29"/>
  <c r="N7" i="3"/>
  <c r="AB19" i="41"/>
  <c r="L48" i="12"/>
  <c r="E11" i="1"/>
  <c r="E19" i="1" s="1"/>
  <c r="F8" i="3" s="1"/>
  <c r="E15" i="2"/>
  <c r="F16" i="2" s="1"/>
  <c r="G28" i="3" s="1"/>
  <c r="AA15" i="2"/>
  <c r="AA16" i="2" s="1"/>
  <c r="AB28" i="3" s="1"/>
  <c r="C46" i="12"/>
  <c r="F48" i="12"/>
  <c r="M48" i="12"/>
  <c r="E88" i="12"/>
  <c r="E129" i="12"/>
  <c r="B44" i="12"/>
  <c r="R35" i="46"/>
  <c r="R36" i="46" s="1"/>
  <c r="R35" i="43"/>
  <c r="R36" i="43" s="1"/>
  <c r="S30" i="1"/>
  <c r="R11" i="1"/>
  <c r="R19" i="1" s="1"/>
  <c r="S8" i="3" s="1"/>
  <c r="S52" i="3" s="1"/>
  <c r="AD4" i="29"/>
  <c r="AC9" i="29"/>
  <c r="AC10" i="29" s="1"/>
  <c r="D16" i="43"/>
  <c r="D17" i="43" s="1"/>
  <c r="D16" i="46"/>
  <c r="D17" i="46" s="1"/>
  <c r="D11" i="29"/>
  <c r="D19" i="29" s="1"/>
  <c r="L38" i="29"/>
  <c r="M13" i="3"/>
  <c r="M52" i="3" s="1"/>
  <c r="D89" i="12"/>
  <c r="D130" i="12"/>
  <c r="K128" i="12"/>
  <c r="K87" i="12"/>
  <c r="AC38" i="29"/>
  <c r="AD13" i="3"/>
  <c r="AE30" i="29"/>
  <c r="C4" i="1"/>
  <c r="D9" i="1"/>
  <c r="D10" i="1" s="1"/>
  <c r="AC4" i="1"/>
  <c r="AB9" i="1"/>
  <c r="AB10" i="1" s="1"/>
  <c r="AC7" i="3" s="1"/>
  <c r="AH17" i="28"/>
  <c r="AH21" i="28" s="1"/>
  <c r="V17" i="1"/>
  <c r="V21" i="1" s="1"/>
  <c r="P43" i="12"/>
  <c r="R43" i="12" s="1"/>
  <c r="S43" i="12" s="1"/>
  <c r="N85" i="12"/>
  <c r="N126" i="12"/>
  <c r="N16" i="43"/>
  <c r="N16" i="46"/>
  <c r="N11" i="29"/>
  <c r="O7" i="3"/>
  <c r="AB16" i="43"/>
  <c r="AB17" i="43" s="1"/>
  <c r="AB16" i="46"/>
  <c r="AB17" i="46" s="1"/>
  <c r="AB11" i="29"/>
  <c r="AB19" i="29" s="1"/>
  <c r="H129" i="12"/>
  <c r="H88" i="12"/>
  <c r="AA19" i="45"/>
  <c r="Z23" i="45"/>
  <c r="F17" i="43"/>
  <c r="I131" i="12"/>
  <c r="I90" i="12"/>
  <c r="F17" i="46"/>
  <c r="N16" i="2"/>
  <c r="O28" i="3" s="1"/>
  <c r="O16" i="2"/>
  <c r="P28" i="3" s="1"/>
  <c r="R32" i="46"/>
  <c r="S30" i="46"/>
  <c r="D9" i="28"/>
  <c r="D10" i="28" s="1"/>
  <c r="D11" i="28" s="1"/>
  <c r="D19" i="28" s="1"/>
  <c r="C4" i="28"/>
  <c r="AB9" i="28"/>
  <c r="AB10" i="28" s="1"/>
  <c r="AB11" i="28" s="1"/>
  <c r="AB19" i="28" s="1"/>
  <c r="AC4" i="28"/>
  <c r="R31" i="46"/>
  <c r="O31" i="43" l="1"/>
  <c r="G46" i="12"/>
  <c r="I49" i="12"/>
  <c r="AE38" i="28"/>
  <c r="H47" i="12"/>
  <c r="AF36" i="28"/>
  <c r="AF35" i="28"/>
  <c r="AF34" i="28"/>
  <c r="AG6" i="28"/>
  <c r="AG7" i="28" s="1"/>
  <c r="AG8" i="28"/>
  <c r="AE36" i="29"/>
  <c r="AE34" i="29"/>
  <c r="AE35" i="29"/>
  <c r="AE9" i="3"/>
  <c r="J48" i="12"/>
  <c r="E7" i="3"/>
  <c r="P30" i="43"/>
  <c r="O32" i="43"/>
  <c r="AG5" i="29"/>
  <c r="AA16" i="47"/>
  <c r="AH5" i="28" s="1"/>
  <c r="AG5" i="1"/>
  <c r="AE35" i="1"/>
  <c r="AE36" i="1"/>
  <c r="AE34" i="1"/>
  <c r="AD38" i="1"/>
  <c r="AF6" i="1"/>
  <c r="AF7" i="1" s="1"/>
  <c r="AF8" i="1"/>
  <c r="AF6" i="29"/>
  <c r="AF7" i="29" s="1"/>
  <c r="AF8" i="29"/>
  <c r="I91" i="12"/>
  <c r="I132" i="12"/>
  <c r="AB19" i="45"/>
  <c r="AA23" i="45"/>
  <c r="M38" i="29"/>
  <c r="N13" i="3"/>
  <c r="N52" i="3" s="1"/>
  <c r="N17" i="46"/>
  <c r="O17" i="46"/>
  <c r="V24" i="1"/>
  <c r="V18" i="1"/>
  <c r="AB15" i="2"/>
  <c r="AB16" i="2" s="1"/>
  <c r="AC28" i="3" s="1"/>
  <c r="D15" i="2"/>
  <c r="D16" i="2" s="1"/>
  <c r="E28" i="3" s="1"/>
  <c r="D11" i="1"/>
  <c r="D19" i="1" s="1"/>
  <c r="E8" i="3" s="1"/>
  <c r="E17" i="43"/>
  <c r="K46" i="12"/>
  <c r="D48" i="12"/>
  <c r="AC16" i="46"/>
  <c r="AC17" i="46" s="1"/>
  <c r="AC16" i="43"/>
  <c r="AC17" i="43" s="1"/>
  <c r="AC11" i="29"/>
  <c r="AC19" i="29" s="1"/>
  <c r="N38" i="29"/>
  <c r="O13" i="3"/>
  <c r="O52" i="3" s="1"/>
  <c r="S35" i="46"/>
  <c r="S36" i="46" s="1"/>
  <c r="S35" i="43"/>
  <c r="S36" i="43" s="1"/>
  <c r="T30" i="1"/>
  <c r="S11" i="1"/>
  <c r="S19" i="1" s="1"/>
  <c r="T8" i="3" s="1"/>
  <c r="T52" i="3" s="1"/>
  <c r="E47" i="12"/>
  <c r="M90" i="12"/>
  <c r="M131" i="12"/>
  <c r="C129" i="12"/>
  <c r="C47" i="12" s="1"/>
  <c r="C88" i="12"/>
  <c r="H89" i="12"/>
  <c r="H130" i="12"/>
  <c r="N17" i="43"/>
  <c r="O17" i="43"/>
  <c r="AI18" i="28"/>
  <c r="AH24" i="28"/>
  <c r="AH18" i="28"/>
  <c r="AC9" i="1"/>
  <c r="AC10" i="1" s="1"/>
  <c r="AD7" i="3" s="1"/>
  <c r="AD4" i="1"/>
  <c r="AE13" i="3"/>
  <c r="AD38" i="29"/>
  <c r="AF30" i="29"/>
  <c r="AA25" i="45"/>
  <c r="AB21" i="45" s="1"/>
  <c r="AB25" i="45" s="1"/>
  <c r="AC21" i="45" s="1"/>
  <c r="AE4" i="29"/>
  <c r="AD9" i="29"/>
  <c r="AD10" i="29" s="1"/>
  <c r="N44" i="12"/>
  <c r="B127" i="12"/>
  <c r="B86" i="12"/>
  <c r="F131" i="12"/>
  <c r="F90" i="12"/>
  <c r="L131" i="12"/>
  <c r="L90" i="12"/>
  <c r="E17" i="46"/>
  <c r="AC19" i="41"/>
  <c r="S31" i="46"/>
  <c r="S32" i="46"/>
  <c r="AD4" i="28"/>
  <c r="AC9" i="28"/>
  <c r="AC10" i="28" s="1"/>
  <c r="AC11" i="28" s="1"/>
  <c r="AC19" i="28" s="1"/>
  <c r="H48" i="12" l="1"/>
  <c r="AF38" i="28"/>
  <c r="G129" i="12"/>
  <c r="G88" i="12"/>
  <c r="AF9" i="3"/>
  <c r="B45" i="12"/>
  <c r="J90" i="12"/>
  <c r="J131" i="12"/>
  <c r="AF35" i="29"/>
  <c r="AF36" i="29"/>
  <c r="AF34" i="29"/>
  <c r="AG36" i="28"/>
  <c r="AG35" i="28"/>
  <c r="AG34" i="28"/>
  <c r="F49" i="12"/>
  <c r="F91" i="12" s="1"/>
  <c r="AH6" i="28"/>
  <c r="AH7" i="28" s="1"/>
  <c r="AH8" i="28"/>
  <c r="AD60" i="3"/>
  <c r="AC60" i="3"/>
  <c r="E16" i="2"/>
  <c r="F28" i="3" s="1"/>
  <c r="P32" i="43"/>
  <c r="Q30" i="43"/>
  <c r="P31" i="43"/>
  <c r="AE38" i="1"/>
  <c r="AH5" i="29"/>
  <c r="AB16" i="47"/>
  <c r="AI5" i="28" s="1"/>
  <c r="AH5" i="1"/>
  <c r="AF35" i="1"/>
  <c r="AF36" i="1"/>
  <c r="AF34" i="1"/>
  <c r="AG8" i="1"/>
  <c r="AG6" i="1"/>
  <c r="AG7" i="1" s="1"/>
  <c r="AG6" i="29"/>
  <c r="AG7" i="29" s="1"/>
  <c r="AG8" i="29"/>
  <c r="AD19" i="41"/>
  <c r="N45" i="12"/>
  <c r="B87" i="12"/>
  <c r="B128" i="12"/>
  <c r="B46" i="12" s="1"/>
  <c r="AD16" i="43"/>
  <c r="AD17" i="43" s="1"/>
  <c r="AD16" i="46"/>
  <c r="AD17" i="46" s="1"/>
  <c r="AD11" i="29"/>
  <c r="AD19" i="29" s="1"/>
  <c r="L49" i="12"/>
  <c r="AI17" i="28"/>
  <c r="W17" i="1"/>
  <c r="W21" i="1" s="1"/>
  <c r="P44" i="12"/>
  <c r="R44" i="12" s="1"/>
  <c r="S44" i="12" s="1"/>
  <c r="N127" i="12"/>
  <c r="N86" i="12"/>
  <c r="AF4" i="29"/>
  <c r="AE9" i="29"/>
  <c r="AE10" i="29" s="1"/>
  <c r="AE38" i="29"/>
  <c r="AF13" i="3"/>
  <c r="AE4" i="1"/>
  <c r="AD9" i="1"/>
  <c r="AD10" i="1" s="1"/>
  <c r="AE7" i="3" s="1"/>
  <c r="M49" i="12"/>
  <c r="E89" i="12"/>
  <c r="E130" i="12"/>
  <c r="D90" i="12"/>
  <c r="D131" i="12"/>
  <c r="I50" i="12"/>
  <c r="AG30" i="29"/>
  <c r="AC15" i="2"/>
  <c r="AC16" i="2" s="1"/>
  <c r="AD28" i="3" s="1"/>
  <c r="H131" i="12"/>
  <c r="H90" i="12"/>
  <c r="C89" i="12"/>
  <c r="C130" i="12"/>
  <c r="U30" i="1"/>
  <c r="T11" i="1"/>
  <c r="T19" i="1" s="1"/>
  <c r="U8" i="3" s="1"/>
  <c r="U52" i="3" s="1"/>
  <c r="K129" i="12"/>
  <c r="K88" i="12"/>
  <c r="AC19" i="45"/>
  <c r="AC25" i="45" s="1"/>
  <c r="AD21" i="45" s="1"/>
  <c r="AB23" i="45"/>
  <c r="AE4" i="28"/>
  <c r="AD9" i="28"/>
  <c r="AD10" i="28" s="1"/>
  <c r="AD11" i="28" s="1"/>
  <c r="AD19" i="28" s="1"/>
  <c r="G47" i="12" l="1"/>
  <c r="F132" i="12"/>
  <c r="J49" i="12"/>
  <c r="AG34" i="29"/>
  <c r="AG35" i="29"/>
  <c r="AG36" i="29"/>
  <c r="AF38" i="1"/>
  <c r="AI6" i="28"/>
  <c r="AI7" i="28" s="1"/>
  <c r="AI8" i="28"/>
  <c r="AG38" i="28"/>
  <c r="C48" i="12"/>
  <c r="C131" i="12" s="1"/>
  <c r="F50" i="12"/>
  <c r="AG9" i="3"/>
  <c r="AH34" i="28"/>
  <c r="AH35" i="28"/>
  <c r="AH36" i="28"/>
  <c r="Q31" i="43"/>
  <c r="R30" i="43"/>
  <c r="Q32" i="43"/>
  <c r="AG34" i="1"/>
  <c r="AG35" i="1"/>
  <c r="AG36" i="1"/>
  <c r="AH9" i="3" s="1"/>
  <c r="AH6" i="1"/>
  <c r="AH7" i="1" s="1"/>
  <c r="AH8" i="1"/>
  <c r="AH6" i="29"/>
  <c r="AH7" i="29" s="1"/>
  <c r="AH8" i="29"/>
  <c r="AI5" i="29"/>
  <c r="AI5" i="1"/>
  <c r="AC16" i="47"/>
  <c r="AJ5" i="28" s="1"/>
  <c r="C90" i="12"/>
  <c r="K47" i="12"/>
  <c r="V30" i="1"/>
  <c r="U11" i="1"/>
  <c r="U19" i="1" s="1"/>
  <c r="V8" i="3" s="1"/>
  <c r="V52" i="3" s="1"/>
  <c r="H49" i="12"/>
  <c r="AH30" i="29"/>
  <c r="D49" i="12"/>
  <c r="E48" i="12"/>
  <c r="M132" i="12"/>
  <c r="M91" i="12"/>
  <c r="AE9" i="1"/>
  <c r="AE10" i="1" s="1"/>
  <c r="AF7" i="3" s="1"/>
  <c r="AF4" i="1"/>
  <c r="AF9" i="29"/>
  <c r="AF10" i="29" s="1"/>
  <c r="AG4" i="29"/>
  <c r="W24" i="1"/>
  <c r="W18" i="1"/>
  <c r="L91" i="12"/>
  <c r="L132" i="12"/>
  <c r="AD19" i="45"/>
  <c r="AC23" i="45"/>
  <c r="AG13" i="3"/>
  <c r="AF38" i="29"/>
  <c r="F133" i="12"/>
  <c r="F92" i="12"/>
  <c r="I133" i="12"/>
  <c r="I92" i="12"/>
  <c r="AD15" i="2"/>
  <c r="AD16" i="2" s="1"/>
  <c r="AE28" i="3" s="1"/>
  <c r="AE16" i="46"/>
  <c r="AE17" i="46" s="1"/>
  <c r="AE16" i="43"/>
  <c r="AE17" i="43" s="1"/>
  <c r="AE11" i="29"/>
  <c r="AE19" i="29" s="1"/>
  <c r="N46" i="12"/>
  <c r="B88" i="12"/>
  <c r="B129" i="12"/>
  <c r="B47" i="12" s="1"/>
  <c r="AJ17" i="28"/>
  <c r="AJ21" i="28" s="1"/>
  <c r="X17" i="1"/>
  <c r="X21" i="1" s="1"/>
  <c r="P45" i="12"/>
  <c r="R45" i="12" s="1"/>
  <c r="S45" i="12" s="1"/>
  <c r="N128" i="12"/>
  <c r="N87" i="12"/>
  <c r="AE19" i="41"/>
  <c r="AE9" i="28"/>
  <c r="AE10" i="28" s="1"/>
  <c r="AE11" i="28" s="1"/>
  <c r="AE19" i="28" s="1"/>
  <c r="AF4" i="28"/>
  <c r="G130" i="12" l="1"/>
  <c r="G89" i="12"/>
  <c r="J91" i="12"/>
  <c r="J132" i="12"/>
  <c r="I51" i="12"/>
  <c r="AH34" i="29"/>
  <c r="AH36" i="29"/>
  <c r="AH35" i="29"/>
  <c r="AH38" i="28"/>
  <c r="AJ6" i="28"/>
  <c r="AJ7" i="28" s="1"/>
  <c r="AJ8" i="28"/>
  <c r="AI36" i="28"/>
  <c r="AI35" i="28"/>
  <c r="AI34" i="28"/>
  <c r="AI38" i="28" s="1"/>
  <c r="F51" i="12"/>
  <c r="F93" i="12" s="1"/>
  <c r="M50" i="12"/>
  <c r="M133" i="12" s="1"/>
  <c r="R32" i="43"/>
  <c r="S30" i="43"/>
  <c r="R31" i="43"/>
  <c r="AJ5" i="29"/>
  <c r="AD16" i="47"/>
  <c r="AK5" i="28" s="1"/>
  <c r="AJ5" i="1"/>
  <c r="AI8" i="29"/>
  <c r="AI6" i="29"/>
  <c r="AI7" i="29" s="1"/>
  <c r="AI6" i="1"/>
  <c r="AI7" i="1" s="1"/>
  <c r="AI8" i="1"/>
  <c r="AH35" i="1"/>
  <c r="AH36" i="1"/>
  <c r="AH34" i="1"/>
  <c r="AG38" i="1"/>
  <c r="N47" i="12"/>
  <c r="B89" i="12"/>
  <c r="B130" i="12"/>
  <c r="AK17" i="28"/>
  <c r="AK21" i="28" s="1"/>
  <c r="P46" i="12"/>
  <c r="R46" i="12" s="1"/>
  <c r="S46" i="12" s="1"/>
  <c r="Y17" i="1"/>
  <c r="Y21" i="1" s="1"/>
  <c r="N129" i="12"/>
  <c r="N88" i="12"/>
  <c r="AJ18" i="28"/>
  <c r="AJ24" i="28"/>
  <c r="L50" i="12"/>
  <c r="AH4" i="29"/>
  <c r="AG9" i="29"/>
  <c r="AG10" i="29" s="1"/>
  <c r="AG4" i="1"/>
  <c r="AF9" i="1"/>
  <c r="AF10" i="1" s="1"/>
  <c r="E131" i="12"/>
  <c r="E90" i="12"/>
  <c r="AG38" i="29"/>
  <c r="AH13" i="3"/>
  <c r="W30" i="1"/>
  <c r="V11" i="1"/>
  <c r="V19" i="1" s="1"/>
  <c r="W8" i="3" s="1"/>
  <c r="W52" i="3" s="1"/>
  <c r="C49" i="12"/>
  <c r="AF19" i="41"/>
  <c r="X24" i="1"/>
  <c r="X18" i="1"/>
  <c r="I134" i="12"/>
  <c r="I93" i="12"/>
  <c r="AE19" i="45"/>
  <c r="AD23" i="45"/>
  <c r="AF16" i="43"/>
  <c r="AF17" i="43" s="1"/>
  <c r="AF16" i="46"/>
  <c r="AF17" i="46" s="1"/>
  <c r="AF11" i="29"/>
  <c r="AF19" i="29" s="1"/>
  <c r="AG7" i="3"/>
  <c r="AE15" i="2"/>
  <c r="AE16" i="2" s="1"/>
  <c r="AF28" i="3" s="1"/>
  <c r="M92" i="12"/>
  <c r="D91" i="12"/>
  <c r="D132" i="12"/>
  <c r="AI30" i="29"/>
  <c r="H91" i="12"/>
  <c r="H132" i="12"/>
  <c r="K130" i="12"/>
  <c r="K89" i="12"/>
  <c r="AD25" i="45"/>
  <c r="AE21" i="45" s="1"/>
  <c r="AE25" i="45" s="1"/>
  <c r="AF21" i="45" s="1"/>
  <c r="AG4" i="28"/>
  <c r="AF9" i="28"/>
  <c r="AF10" i="28" s="1"/>
  <c r="AF11" i="28" s="1"/>
  <c r="AF19" i="28" s="1"/>
  <c r="S21" i="41"/>
  <c r="AI9" i="3" l="1"/>
  <c r="G48" i="12"/>
  <c r="H50" i="12"/>
  <c r="F134" i="12"/>
  <c r="F52" i="12" s="1"/>
  <c r="J50" i="12"/>
  <c r="I52" i="12"/>
  <c r="I94" i="12" s="1"/>
  <c r="E49" i="12"/>
  <c r="AI36" i="29"/>
  <c r="AI35" i="29"/>
  <c r="AI34" i="29"/>
  <c r="D50" i="12"/>
  <c r="B48" i="12"/>
  <c r="AK8" i="28"/>
  <c r="AK6" i="28"/>
  <c r="AK7" i="28" s="1"/>
  <c r="AJ34" i="28"/>
  <c r="AJ35" i="28"/>
  <c r="AJ36" i="28"/>
  <c r="S31" i="43"/>
  <c r="T30" i="43"/>
  <c r="S32" i="43"/>
  <c r="AH38" i="1"/>
  <c r="AK5" i="29"/>
  <c r="AK5" i="1"/>
  <c r="AE16" i="47"/>
  <c r="AL5" i="28" s="1"/>
  <c r="AI36" i="1"/>
  <c r="AI34" i="1"/>
  <c r="AI35" i="1"/>
  <c r="AJ8" i="1"/>
  <c r="AJ6" i="1"/>
  <c r="AJ7" i="1" s="1"/>
  <c r="AJ6" i="29"/>
  <c r="AJ7" i="29" s="1"/>
  <c r="AJ8" i="29"/>
  <c r="S25" i="41"/>
  <c r="S23" i="41"/>
  <c r="K48" i="12"/>
  <c r="N48" i="12" s="1"/>
  <c r="AJ30" i="29"/>
  <c r="M51" i="12"/>
  <c r="C91" i="12"/>
  <c r="C132" i="12"/>
  <c r="X30" i="1"/>
  <c r="W11" i="1"/>
  <c r="W19" i="1" s="1"/>
  <c r="X8" i="3" s="1"/>
  <c r="X52" i="3" s="1"/>
  <c r="AF15" i="2"/>
  <c r="AF16" i="2" s="1"/>
  <c r="AG28" i="3" s="1"/>
  <c r="AG16" i="46"/>
  <c r="AG17" i="46" s="1"/>
  <c r="AG16" i="43"/>
  <c r="AG17" i="43" s="1"/>
  <c r="AG11" i="29"/>
  <c r="AG19" i="29" s="1"/>
  <c r="L92" i="12"/>
  <c r="L133" i="12"/>
  <c r="Y24" i="1"/>
  <c r="Y18" i="1"/>
  <c r="AK18" i="28"/>
  <c r="AK24" i="28"/>
  <c r="H92" i="12"/>
  <c r="H133" i="12"/>
  <c r="AH38" i="29"/>
  <c r="AI13" i="3"/>
  <c r="D133" i="12"/>
  <c r="D92" i="12"/>
  <c r="AF19" i="45"/>
  <c r="AF23" i="45" s="1"/>
  <c r="AE23" i="45"/>
  <c r="I135" i="12"/>
  <c r="AG19" i="41"/>
  <c r="E91" i="12"/>
  <c r="E132" i="12"/>
  <c r="E50" i="12" s="1"/>
  <c r="AG9" i="1"/>
  <c r="AG10" i="1" s="1"/>
  <c r="AH7" i="3" s="1"/>
  <c r="AH4" i="1"/>
  <c r="AI4" i="29"/>
  <c r="AH9" i="29"/>
  <c r="AH10" i="29" s="1"/>
  <c r="B90" i="12"/>
  <c r="B131" i="12"/>
  <c r="AL17" i="28"/>
  <c r="AL21" i="28" s="1"/>
  <c r="Z17" i="1"/>
  <c r="Z21" i="1" s="1"/>
  <c r="P47" i="12"/>
  <c r="R47" i="12" s="1"/>
  <c r="S47" i="12" s="1"/>
  <c r="N130" i="12"/>
  <c r="N89" i="12"/>
  <c r="AH4" i="28"/>
  <c r="AG9" i="28"/>
  <c r="AG10" i="28" s="1"/>
  <c r="AG11" i="28" s="1"/>
  <c r="AG19" i="28" s="1"/>
  <c r="T21" i="41"/>
  <c r="H51" i="12" l="1"/>
  <c r="G90" i="12"/>
  <c r="G131" i="12"/>
  <c r="G49" i="12" s="1"/>
  <c r="G132" i="12" s="1"/>
  <c r="L51" i="12"/>
  <c r="J133" i="12"/>
  <c r="J92" i="12"/>
  <c r="I53" i="12"/>
  <c r="I136" i="12" s="1"/>
  <c r="I54" i="12" s="1"/>
  <c r="D51" i="12"/>
  <c r="AJ9" i="3"/>
  <c r="AK34" i="28"/>
  <c r="AK35" i="28"/>
  <c r="AK36" i="28"/>
  <c r="AL6" i="28"/>
  <c r="AL7" i="28" s="1"/>
  <c r="AL8" i="28"/>
  <c r="AJ35" i="29"/>
  <c r="AJ34" i="29"/>
  <c r="AJ36" i="29"/>
  <c r="AJ38" i="28"/>
  <c r="T32" i="43"/>
  <c r="U30" i="43"/>
  <c r="T31" i="43"/>
  <c r="AJ34" i="1"/>
  <c r="AJ35" i="1"/>
  <c r="AJ36" i="1"/>
  <c r="AI38" i="1"/>
  <c r="AL5" i="29"/>
  <c r="AL5" i="1"/>
  <c r="AF16" i="47"/>
  <c r="AM5" i="28" s="1"/>
  <c r="AK6" i="29"/>
  <c r="AK7" i="29" s="1"/>
  <c r="AK8" i="29"/>
  <c r="AK8" i="1"/>
  <c r="AK6" i="1"/>
  <c r="AK7" i="1" s="1"/>
  <c r="T25" i="41"/>
  <c r="U21" i="41" s="1"/>
  <c r="T23" i="41"/>
  <c r="Z24" i="1"/>
  <c r="Z18" i="1"/>
  <c r="B49" i="12"/>
  <c r="AM17" i="28"/>
  <c r="AM21" i="28" s="1"/>
  <c r="AA17" i="1"/>
  <c r="AA21" i="1" s="1"/>
  <c r="P48" i="12"/>
  <c r="R48" i="12" s="1"/>
  <c r="S48" i="12" s="1"/>
  <c r="N131" i="12"/>
  <c r="N90" i="12"/>
  <c r="AJ4" i="29"/>
  <c r="AI9" i="29"/>
  <c r="AI10" i="29" s="1"/>
  <c r="AG15" i="2"/>
  <c r="AG16" i="2" s="1"/>
  <c r="AH28" i="3" s="1"/>
  <c r="AH19" i="41"/>
  <c r="AG26" i="41"/>
  <c r="AG29" i="41" s="1"/>
  <c r="AG37" i="41" s="1"/>
  <c r="C50" i="12"/>
  <c r="F135" i="12"/>
  <c r="F94" i="12"/>
  <c r="AI38" i="29"/>
  <c r="AJ13" i="3"/>
  <c r="K90" i="12"/>
  <c r="K131" i="12"/>
  <c r="AL24" i="28"/>
  <c r="AL18" i="28"/>
  <c r="T35" i="46"/>
  <c r="T36" i="46" s="1"/>
  <c r="T35" i="43"/>
  <c r="T36" i="43" s="1"/>
  <c r="AH11" i="29"/>
  <c r="AH19" i="29" s="1"/>
  <c r="AI4" i="1"/>
  <c r="AH9" i="1"/>
  <c r="AH10" i="1" s="1"/>
  <c r="AI7" i="3" s="1"/>
  <c r="E133" i="12"/>
  <c r="E92" i="12"/>
  <c r="I95" i="12"/>
  <c r="D134" i="12"/>
  <c r="D93" i="12"/>
  <c r="H134" i="12"/>
  <c r="H93" i="12"/>
  <c r="L134" i="12"/>
  <c r="L93" i="12"/>
  <c r="Y30" i="1"/>
  <c r="X11" i="1"/>
  <c r="X19" i="1" s="1"/>
  <c r="Y8" i="3" s="1"/>
  <c r="Y52" i="3" s="1"/>
  <c r="M93" i="12"/>
  <c r="M134" i="12"/>
  <c r="AK30" i="29"/>
  <c r="AF25" i="45"/>
  <c r="AG21" i="45" s="1"/>
  <c r="AG25" i="45" s="1"/>
  <c r="AI4" i="28"/>
  <c r="AH9" i="28"/>
  <c r="AH10" i="28" s="1"/>
  <c r="AH11" i="28" s="1"/>
  <c r="AH19" i="28" s="1"/>
  <c r="H52" i="12" l="1"/>
  <c r="AK9" i="3"/>
  <c r="J51" i="12"/>
  <c r="G91" i="12"/>
  <c r="G50" i="12" s="1"/>
  <c r="AK38" i="28"/>
  <c r="AL35" i="28"/>
  <c r="AL36" i="28"/>
  <c r="AL34" i="28"/>
  <c r="AM6" i="28"/>
  <c r="AM7" i="28" s="1"/>
  <c r="AM8" i="28"/>
  <c r="L52" i="12"/>
  <c r="L94" i="12" s="1"/>
  <c r="D52" i="12"/>
  <c r="E51" i="12"/>
  <c r="E134" i="12" s="1"/>
  <c r="F53" i="12"/>
  <c r="AK34" i="29"/>
  <c r="AK36" i="29"/>
  <c r="AK35" i="29"/>
  <c r="U31" i="43"/>
  <c r="AH41" i="43"/>
  <c r="AJ10" i="3" s="1"/>
  <c r="AJ23" i="3" s="1"/>
  <c r="V30" i="43"/>
  <c r="U32" i="43"/>
  <c r="AK34" i="1"/>
  <c r="AK35" i="1"/>
  <c r="AK36" i="1"/>
  <c r="AL8" i="1"/>
  <c r="AL6" i="1"/>
  <c r="AL7" i="1" s="1"/>
  <c r="AM5" i="29"/>
  <c r="AM5" i="1"/>
  <c r="AG16" i="47"/>
  <c r="AN5" i="28" s="1"/>
  <c r="AL6" i="29"/>
  <c r="AL7" i="29" s="1"/>
  <c r="AL8" i="29"/>
  <c r="AJ38" i="1"/>
  <c r="Z30" i="1"/>
  <c r="Y11" i="1"/>
  <c r="Y19" i="1" s="1"/>
  <c r="Z8" i="3" s="1"/>
  <c r="Z52" i="3" s="1"/>
  <c r="AJ38" i="29"/>
  <c r="AK13" i="3"/>
  <c r="AL30" i="29"/>
  <c r="M52" i="12"/>
  <c r="K49" i="12"/>
  <c r="C133" i="12"/>
  <c r="C92" i="12"/>
  <c r="AK4" i="29"/>
  <c r="AJ9" i="29"/>
  <c r="AJ10" i="29" s="1"/>
  <c r="AM24" i="28"/>
  <c r="AM18" i="28"/>
  <c r="L135" i="12"/>
  <c r="H135" i="12"/>
  <c r="H53" i="12" s="1"/>
  <c r="H94" i="12"/>
  <c r="D135" i="12"/>
  <c r="D53" i="12" s="1"/>
  <c r="D94" i="12"/>
  <c r="I96" i="12"/>
  <c r="I137" i="12"/>
  <c r="E93" i="12"/>
  <c r="AJ4" i="1"/>
  <c r="AI9" i="1"/>
  <c r="AI10" i="1" s="1"/>
  <c r="AJ7" i="3" s="1"/>
  <c r="F95" i="12"/>
  <c r="F136" i="12"/>
  <c r="AH26" i="41"/>
  <c r="AH29" i="41" s="1"/>
  <c r="AH37" i="41" s="1"/>
  <c r="AI19" i="41"/>
  <c r="U35" i="46"/>
  <c r="U36" i="46" s="1"/>
  <c r="U35" i="43"/>
  <c r="U36" i="43" s="1"/>
  <c r="AI11" i="29"/>
  <c r="AI19" i="29" s="1"/>
  <c r="AA24" i="1"/>
  <c r="AA18" i="1"/>
  <c r="N49" i="12"/>
  <c r="B132" i="12"/>
  <c r="B91" i="12"/>
  <c r="U25" i="41"/>
  <c r="V21" i="41" s="1"/>
  <c r="U23" i="41"/>
  <c r="AJ4" i="28"/>
  <c r="AI9" i="28"/>
  <c r="AI10" i="28" s="1"/>
  <c r="AI11" i="28" s="1"/>
  <c r="AI19" i="28" s="1"/>
  <c r="G92" i="12" l="1"/>
  <c r="G133" i="12"/>
  <c r="J93" i="12"/>
  <c r="J134" i="12"/>
  <c r="J52" i="12" s="1"/>
  <c r="J135" i="12" s="1"/>
  <c r="B50" i="12"/>
  <c r="C51" i="12"/>
  <c r="AL9" i="3"/>
  <c r="L53" i="12"/>
  <c r="AL35" i="29"/>
  <c r="AL34" i="29"/>
  <c r="AL36" i="29"/>
  <c r="AL38" i="28"/>
  <c r="AN6" i="28"/>
  <c r="AN7" i="28" s="1"/>
  <c r="AN8" i="28"/>
  <c r="AM34" i="28"/>
  <c r="AM35" i="28"/>
  <c r="AM36" i="28"/>
  <c r="V32" i="43"/>
  <c r="V31" i="43"/>
  <c r="AK10" i="3"/>
  <c r="AK23" i="3" s="1"/>
  <c r="AI41" i="43"/>
  <c r="W30" i="43"/>
  <c r="W32" i="43" s="1"/>
  <c r="AN5" i="29"/>
  <c r="AH16" i="47"/>
  <c r="AO5" i="28" s="1"/>
  <c r="AN5" i="1"/>
  <c r="AM8" i="29"/>
  <c r="AM6" i="29"/>
  <c r="AM7" i="29" s="1"/>
  <c r="AL34" i="1"/>
  <c r="AL35" i="1"/>
  <c r="AL36" i="1"/>
  <c r="AM9" i="3" s="1"/>
  <c r="AM8" i="1"/>
  <c r="AM6" i="1"/>
  <c r="AM7" i="1" s="1"/>
  <c r="AK38" i="1"/>
  <c r="AN17" i="28"/>
  <c r="AN21" i="28" s="1"/>
  <c r="AB17" i="1"/>
  <c r="AB21" i="1" s="1"/>
  <c r="P49" i="12"/>
  <c r="R49" i="12" s="1"/>
  <c r="S49" i="12" s="1"/>
  <c r="N91" i="12"/>
  <c r="N132" i="12"/>
  <c r="F54" i="12"/>
  <c r="E52" i="12"/>
  <c r="I55" i="12"/>
  <c r="V35" i="46"/>
  <c r="V36" i="46" s="1"/>
  <c r="V35" i="43"/>
  <c r="V36" i="43" s="1"/>
  <c r="AJ11" i="29"/>
  <c r="AJ19" i="29" s="1"/>
  <c r="K132" i="12"/>
  <c r="K91" i="12"/>
  <c r="AK38" i="29"/>
  <c r="AL13" i="3"/>
  <c r="AA30" i="1"/>
  <c r="Z11" i="1"/>
  <c r="V25" i="41"/>
  <c r="V23" i="41"/>
  <c r="B92" i="12"/>
  <c r="B133" i="12"/>
  <c r="AJ19" i="41"/>
  <c r="AI26" i="41"/>
  <c r="AI29" i="41" s="1"/>
  <c r="AI37" i="41" s="1"/>
  <c r="AK4" i="1"/>
  <c r="AJ9" i="1"/>
  <c r="AJ10" i="1" s="1"/>
  <c r="AK7" i="3" s="1"/>
  <c r="D95" i="12"/>
  <c r="D136" i="12"/>
  <c r="H136" i="12"/>
  <c r="H95" i="12"/>
  <c r="L136" i="12"/>
  <c r="L95" i="12"/>
  <c r="AL4" i="29"/>
  <c r="AK9" i="29"/>
  <c r="AK10" i="29" s="1"/>
  <c r="C93" i="12"/>
  <c r="C134" i="12"/>
  <c r="M135" i="12"/>
  <c r="M94" i="12"/>
  <c r="AM30" i="29"/>
  <c r="AK4" i="28"/>
  <c r="AJ9" i="28"/>
  <c r="AJ10" i="28" s="1"/>
  <c r="AJ11" i="28" s="1"/>
  <c r="AJ19" i="28" s="1"/>
  <c r="B51" i="12" l="1"/>
  <c r="J94" i="12"/>
  <c r="J53" i="12" s="1"/>
  <c r="J95" i="12" s="1"/>
  <c r="G51" i="12"/>
  <c r="K50" i="12"/>
  <c r="N50" i="12" s="1"/>
  <c r="P50" i="12" s="1"/>
  <c r="R50" i="12" s="1"/>
  <c r="S50" i="12" s="1"/>
  <c r="Z19" i="1"/>
  <c r="AA8" i="3" s="1"/>
  <c r="AA52" i="3" s="1"/>
  <c r="AM38" i="28"/>
  <c r="L54" i="12"/>
  <c r="L96" i="12" s="1"/>
  <c r="AO8" i="28"/>
  <c r="AO6" i="28"/>
  <c r="AO7" i="28" s="1"/>
  <c r="AN36" i="28"/>
  <c r="AN34" i="28"/>
  <c r="AN38" i="28" s="1"/>
  <c r="AN35" i="28"/>
  <c r="M53" i="12"/>
  <c r="M95" i="12" s="1"/>
  <c r="H54" i="12"/>
  <c r="AM36" i="29"/>
  <c r="AM34" i="29"/>
  <c r="AM35" i="29"/>
  <c r="W31" i="43"/>
  <c r="AL10" i="3"/>
  <c r="AL23" i="3" s="1"/>
  <c r="AJ41" i="43"/>
  <c r="X30" i="43"/>
  <c r="X31" i="43" s="1"/>
  <c r="AL38" i="1"/>
  <c r="AO5" i="29"/>
  <c r="AI16" i="47"/>
  <c r="AP5" i="28" s="1"/>
  <c r="AO5" i="1"/>
  <c r="AM34" i="1"/>
  <c r="AM35" i="1"/>
  <c r="AM36" i="1"/>
  <c r="AN9" i="3" s="1"/>
  <c r="AN6" i="1"/>
  <c r="AN7" i="1" s="1"/>
  <c r="AN8" i="1"/>
  <c r="AN6" i="29"/>
  <c r="AN7" i="29" s="1"/>
  <c r="AN8" i="29"/>
  <c r="AN30" i="29"/>
  <c r="C52" i="12"/>
  <c r="W35" i="46"/>
  <c r="W36" i="46" s="1"/>
  <c r="W35" i="43"/>
  <c r="W36" i="43" s="1"/>
  <c r="AK11" i="29"/>
  <c r="AK19" i="29" s="1"/>
  <c r="D54" i="12"/>
  <c r="I97" i="12"/>
  <c r="I138" i="12"/>
  <c r="AB24" i="1"/>
  <c r="AB18" i="1"/>
  <c r="AL38" i="29"/>
  <c r="AM13" i="3"/>
  <c r="M136" i="12"/>
  <c r="AM4" i="29"/>
  <c r="AL9" i="29"/>
  <c r="AL10" i="29" s="1"/>
  <c r="H137" i="12"/>
  <c r="H96" i="12"/>
  <c r="AL4" i="1"/>
  <c r="AK9" i="1"/>
  <c r="AK10" i="1" s="1"/>
  <c r="AL7" i="3" s="1"/>
  <c r="AK19" i="41"/>
  <c r="AJ26" i="41"/>
  <c r="AJ29" i="41" s="1"/>
  <c r="AJ37" i="41" s="1"/>
  <c r="B134" i="12"/>
  <c r="B93" i="12"/>
  <c r="AO17" i="28"/>
  <c r="AO21" i="28" s="1"/>
  <c r="AC17" i="1"/>
  <c r="AC21" i="1" s="1"/>
  <c r="N133" i="12"/>
  <c r="N92" i="12"/>
  <c r="AB30" i="1"/>
  <c r="AA11" i="1"/>
  <c r="AA19" i="1" s="1"/>
  <c r="AB8" i="3" s="1"/>
  <c r="AB52" i="3" s="1"/>
  <c r="K133" i="12"/>
  <c r="E135" i="12"/>
  <c r="E94" i="12"/>
  <c r="F137" i="12"/>
  <c r="F96" i="12"/>
  <c r="J136" i="12"/>
  <c r="AN24" i="28"/>
  <c r="AN18" i="28"/>
  <c r="AL4" i="28"/>
  <c r="AK9" i="28"/>
  <c r="AK10" i="28" s="1"/>
  <c r="AK11" i="28" s="1"/>
  <c r="AK19" i="28" s="1"/>
  <c r="W21" i="41"/>
  <c r="K92" i="12" l="1"/>
  <c r="G93" i="12"/>
  <c r="G134" i="12"/>
  <c r="G52" i="12" s="1"/>
  <c r="L137" i="12"/>
  <c r="F55" i="12"/>
  <c r="I56" i="12"/>
  <c r="I139" i="12" s="1"/>
  <c r="AN35" i="29"/>
  <c r="AN34" i="29"/>
  <c r="AN36" i="29"/>
  <c r="AP6" i="28"/>
  <c r="AP7" i="28" s="1"/>
  <c r="AP8" i="28"/>
  <c r="AO36" i="28"/>
  <c r="AO35" i="28"/>
  <c r="AO34" i="28"/>
  <c r="E53" i="12"/>
  <c r="E136" i="12" s="1"/>
  <c r="AK41" i="43"/>
  <c r="AM10" i="3" s="1"/>
  <c r="AM23" i="3" s="1"/>
  <c r="Y30" i="43"/>
  <c r="X32" i="43"/>
  <c r="Y32" i="43" s="1"/>
  <c r="AO6" i="1"/>
  <c r="AO7" i="1" s="1"/>
  <c r="AO8" i="1"/>
  <c r="AO6" i="29"/>
  <c r="AO7" i="29" s="1"/>
  <c r="AO8" i="29"/>
  <c r="AN35" i="1"/>
  <c r="AN36" i="1"/>
  <c r="AN34" i="1"/>
  <c r="AM38" i="1"/>
  <c r="AP5" i="29"/>
  <c r="AJ16" i="47"/>
  <c r="AQ5" i="28" s="1"/>
  <c r="AP5" i="1"/>
  <c r="W25" i="41"/>
  <c r="W23" i="41"/>
  <c r="J54" i="12"/>
  <c r="K51" i="12"/>
  <c r="AC24" i="1"/>
  <c r="AC18" i="1"/>
  <c r="AO18" i="28"/>
  <c r="AO24" i="28"/>
  <c r="B52" i="12"/>
  <c r="AM4" i="1"/>
  <c r="AL9" i="1"/>
  <c r="AL10" i="1" s="1"/>
  <c r="H55" i="12"/>
  <c r="L55" i="12"/>
  <c r="AN4" i="29"/>
  <c r="AM9" i="29"/>
  <c r="AM10" i="29" s="1"/>
  <c r="M54" i="12"/>
  <c r="C135" i="12"/>
  <c r="C94" i="12"/>
  <c r="AO30" i="29"/>
  <c r="F97" i="12"/>
  <c r="F138" i="12"/>
  <c r="F56" i="12" s="1"/>
  <c r="AC30" i="1"/>
  <c r="AB11" i="1"/>
  <c r="AB19" i="1" s="1"/>
  <c r="AC8" i="3" s="1"/>
  <c r="AC52" i="3" s="1"/>
  <c r="AL19" i="41"/>
  <c r="AK26" i="41"/>
  <c r="AK29" i="41" s="1"/>
  <c r="AK37" i="41" s="1"/>
  <c r="X35" i="46"/>
  <c r="X36" i="46" s="1"/>
  <c r="X35" i="43"/>
  <c r="X36" i="43" s="1"/>
  <c r="AL11" i="29"/>
  <c r="AL19" i="29" s="1"/>
  <c r="AM7" i="3"/>
  <c r="I98" i="12"/>
  <c r="D96" i="12"/>
  <c r="D137" i="12"/>
  <c r="AM38" i="29"/>
  <c r="AN13" i="3"/>
  <c r="AM4" i="28"/>
  <c r="AL9" i="28"/>
  <c r="AL10" i="28" s="1"/>
  <c r="AL11" i="28" s="1"/>
  <c r="AL19" i="28" s="1"/>
  <c r="G94" i="12" l="1"/>
  <c r="G135" i="12"/>
  <c r="G53" i="12" s="1"/>
  <c r="E95" i="12"/>
  <c r="E54" i="12" s="1"/>
  <c r="AO9" i="3"/>
  <c r="C53" i="12"/>
  <c r="C95" i="12" s="1"/>
  <c r="AO34" i="29"/>
  <c r="AO35" i="29"/>
  <c r="AO36" i="29"/>
  <c r="AO38" i="28"/>
  <c r="AQ6" i="28"/>
  <c r="AQ7" i="28" s="1"/>
  <c r="AQ8" i="28"/>
  <c r="AP36" i="28"/>
  <c r="AP34" i="28"/>
  <c r="AP35" i="28"/>
  <c r="D55" i="12"/>
  <c r="AN38" i="1"/>
  <c r="AN10" i="3"/>
  <c r="AN23" i="3" s="1"/>
  <c r="AL41" i="43"/>
  <c r="Z30" i="43"/>
  <c r="Z32" i="43" s="1"/>
  <c r="Y31" i="43"/>
  <c r="AP6" i="29"/>
  <c r="AP7" i="29" s="1"/>
  <c r="AP8" i="29"/>
  <c r="AQ5" i="29"/>
  <c r="AK16" i="47"/>
  <c r="AR5" i="28" s="1"/>
  <c r="AQ5" i="1"/>
  <c r="AO35" i="1"/>
  <c r="AO36" i="1"/>
  <c r="AO34" i="1"/>
  <c r="AP8" i="1"/>
  <c r="AP6" i="1"/>
  <c r="AP7" i="1" s="1"/>
  <c r="D97" i="12"/>
  <c r="D138" i="12"/>
  <c r="I57" i="12"/>
  <c r="AD30" i="1"/>
  <c r="AC11" i="1"/>
  <c r="AC19" i="1" s="1"/>
  <c r="AD8" i="3" s="1"/>
  <c r="AD52" i="3" s="1"/>
  <c r="AN38" i="29"/>
  <c r="AO13" i="3"/>
  <c r="AP30" i="29"/>
  <c r="Y35" i="46"/>
  <c r="Y36" i="46" s="1"/>
  <c r="Y35" i="43"/>
  <c r="Y36" i="43" s="1"/>
  <c r="AM11" i="29"/>
  <c r="AM19" i="29" s="1"/>
  <c r="L97" i="12"/>
  <c r="L138" i="12"/>
  <c r="L56" i="12" s="1"/>
  <c r="B135" i="12"/>
  <c r="B94" i="12"/>
  <c r="K134" i="12"/>
  <c r="K93" i="12"/>
  <c r="N51" i="12"/>
  <c r="AM19" i="41"/>
  <c r="AL26" i="41"/>
  <c r="AL29" i="41" s="1"/>
  <c r="AL37" i="41" s="1"/>
  <c r="F139" i="12"/>
  <c r="F98" i="12"/>
  <c r="M137" i="12"/>
  <c r="M96" i="12"/>
  <c r="AO4" i="29"/>
  <c r="AN9" i="29"/>
  <c r="AN10" i="29" s="1"/>
  <c r="H138" i="12"/>
  <c r="H97" i="12"/>
  <c r="AN4" i="1"/>
  <c r="AM9" i="1"/>
  <c r="AM10" i="1" s="1"/>
  <c r="AN7" i="3" s="1"/>
  <c r="J96" i="12"/>
  <c r="J137" i="12"/>
  <c r="J55" i="12" s="1"/>
  <c r="AN4" i="28"/>
  <c r="AM9" i="28"/>
  <c r="AM10" i="28" s="1"/>
  <c r="AM11" i="28" s="1"/>
  <c r="AM19" i="28" s="1"/>
  <c r="E137" i="12" l="1"/>
  <c r="E96" i="12"/>
  <c r="C136" i="12"/>
  <c r="C54" i="12" s="1"/>
  <c r="C96" i="12" s="1"/>
  <c r="G136" i="12"/>
  <c r="G95" i="12"/>
  <c r="AR6" i="28"/>
  <c r="AR7" i="28" s="1"/>
  <c r="AR8" i="28"/>
  <c r="AQ36" i="28"/>
  <c r="AQ34" i="28"/>
  <c r="AQ35" i="28"/>
  <c r="K52" i="12"/>
  <c r="K94" i="12" s="1"/>
  <c r="AP36" i="29"/>
  <c r="AP34" i="29"/>
  <c r="AP35" i="29"/>
  <c r="AP9" i="3"/>
  <c r="F57" i="12"/>
  <c r="F140" i="12" s="1"/>
  <c r="AP38" i="28"/>
  <c r="Z31" i="43"/>
  <c r="AO10" i="3"/>
  <c r="AO23" i="3" s="1"/>
  <c r="AM41" i="43"/>
  <c r="AA30" i="43"/>
  <c r="AO38" i="1"/>
  <c r="AR5" i="29"/>
  <c r="AL16" i="47"/>
  <c r="AS5" i="28" s="1"/>
  <c r="AR5" i="1"/>
  <c r="AP35" i="1"/>
  <c r="AP36" i="1"/>
  <c r="AP34" i="1"/>
  <c r="AQ6" i="1"/>
  <c r="AQ7" i="1" s="1"/>
  <c r="AQ8" i="1"/>
  <c r="AQ8" i="29"/>
  <c r="AQ6" i="29"/>
  <c r="AQ7" i="29" s="1"/>
  <c r="AO4" i="1"/>
  <c r="AN9" i="1"/>
  <c r="AN10" i="1" s="1"/>
  <c r="AO7" i="3" s="1"/>
  <c r="H56" i="12"/>
  <c r="AP4" i="29"/>
  <c r="AO9" i="29"/>
  <c r="AO10" i="29" s="1"/>
  <c r="M55" i="12"/>
  <c r="E55" i="12"/>
  <c r="B53" i="12"/>
  <c r="AQ30" i="29"/>
  <c r="AE30" i="1"/>
  <c r="AD11" i="1"/>
  <c r="D56" i="12"/>
  <c r="J138" i="12"/>
  <c r="J97" i="12"/>
  <c r="Z35" i="46"/>
  <c r="Z36" i="46" s="1"/>
  <c r="Z35" i="43"/>
  <c r="Z36" i="43" s="1"/>
  <c r="AN11" i="29"/>
  <c r="AN19" i="29" s="1"/>
  <c r="C137" i="12"/>
  <c r="F99" i="12"/>
  <c r="AN19" i="41"/>
  <c r="AM26" i="41"/>
  <c r="AM29" i="41" s="1"/>
  <c r="AM37" i="41" s="1"/>
  <c r="AP17" i="28"/>
  <c r="AP21" i="28" s="1"/>
  <c r="AD17" i="1"/>
  <c r="AD21" i="1" s="1"/>
  <c r="P51" i="12"/>
  <c r="R51" i="12" s="1"/>
  <c r="S51" i="12" s="1"/>
  <c r="N93" i="12"/>
  <c r="N134" i="12"/>
  <c r="N52" i="12"/>
  <c r="L139" i="12"/>
  <c r="L98" i="12"/>
  <c r="AO38" i="29"/>
  <c r="AP13" i="3"/>
  <c r="I140" i="12"/>
  <c r="I99" i="12"/>
  <c r="AO4" i="28"/>
  <c r="AN9" i="28"/>
  <c r="AN10" i="28" s="1"/>
  <c r="AN11" i="28" s="1"/>
  <c r="AN19" i="28" s="1"/>
  <c r="X21" i="41"/>
  <c r="K135" i="12" l="1"/>
  <c r="K53" i="12" s="1"/>
  <c r="I58" i="12"/>
  <c r="L57" i="12"/>
  <c r="AP38" i="1"/>
  <c r="F58" i="12"/>
  <c r="G54" i="12"/>
  <c r="AQ38" i="28"/>
  <c r="AS8" i="28"/>
  <c r="AS6" i="28"/>
  <c r="AS7" i="28" s="1"/>
  <c r="AQ36" i="29"/>
  <c r="AQ35" i="29"/>
  <c r="AQ34" i="29"/>
  <c r="AQ9" i="3"/>
  <c r="AR34" i="28"/>
  <c r="AR35" i="28"/>
  <c r="AR36" i="28"/>
  <c r="AA31" i="43"/>
  <c r="AN41" i="43"/>
  <c r="AP10" i="3" s="1"/>
  <c r="AP23" i="3" s="1"/>
  <c r="AB30" i="43"/>
  <c r="AA32" i="43"/>
  <c r="AQ35" i="1"/>
  <c r="AQ36" i="1"/>
  <c r="AQ34" i="1"/>
  <c r="AR8" i="1"/>
  <c r="AR6" i="1"/>
  <c r="AR7" i="1" s="1"/>
  <c r="AR6" i="29"/>
  <c r="AR7" i="29" s="1"/>
  <c r="AR8" i="29"/>
  <c r="AS5" i="29"/>
  <c r="AM16" i="47"/>
  <c r="AT5" i="28" s="1"/>
  <c r="AS5" i="1"/>
  <c r="X25" i="41"/>
  <c r="Y21" i="41" s="1"/>
  <c r="X23" i="41"/>
  <c r="I141" i="12"/>
  <c r="I100" i="12"/>
  <c r="AQ17" i="28"/>
  <c r="AQ21" i="28" s="1"/>
  <c r="AE17" i="1"/>
  <c r="AE21" i="1" s="1"/>
  <c r="P52" i="12"/>
  <c r="R52" i="12" s="1"/>
  <c r="S52" i="12" s="1"/>
  <c r="N135" i="12"/>
  <c r="N94" i="12"/>
  <c r="AD24" i="1"/>
  <c r="AD19" i="1" s="1"/>
  <c r="AE8" i="3" s="1"/>
  <c r="AE52" i="3" s="1"/>
  <c r="AD18" i="1"/>
  <c r="C55" i="12"/>
  <c r="J56" i="12"/>
  <c r="AP38" i="29"/>
  <c r="AQ13" i="3"/>
  <c r="N53" i="12"/>
  <c r="B95" i="12"/>
  <c r="B136" i="12"/>
  <c r="M138" i="12"/>
  <c r="M97" i="12"/>
  <c r="AQ4" i="29"/>
  <c r="AP9" i="29"/>
  <c r="AP10" i="29" s="1"/>
  <c r="L99" i="12"/>
  <c r="L140" i="12"/>
  <c r="K136" i="12"/>
  <c r="K95" i="12"/>
  <c r="AP24" i="28"/>
  <c r="AP18" i="28"/>
  <c r="AN26" i="41"/>
  <c r="AN29" i="41" s="1"/>
  <c r="AN37" i="41" s="1"/>
  <c r="AO19" i="41"/>
  <c r="F141" i="12"/>
  <c r="F100" i="12"/>
  <c r="D98" i="12"/>
  <c r="D139" i="12"/>
  <c r="D57" i="12" s="1"/>
  <c r="AF30" i="1"/>
  <c r="AE11" i="1"/>
  <c r="AR30" i="29"/>
  <c r="E97" i="12"/>
  <c r="E138" i="12"/>
  <c r="E56" i="12" s="1"/>
  <c r="AA35" i="46"/>
  <c r="AA36" i="46" s="1"/>
  <c r="AA35" i="43"/>
  <c r="AA36" i="43" s="1"/>
  <c r="AO11" i="29"/>
  <c r="AO19" i="29" s="1"/>
  <c r="H139" i="12"/>
  <c r="H98" i="12"/>
  <c r="AP4" i="1"/>
  <c r="AO9" i="1"/>
  <c r="AO10" i="1" s="1"/>
  <c r="AP7" i="3" s="1"/>
  <c r="AP4" i="28"/>
  <c r="AO9" i="28"/>
  <c r="AO10" i="28" s="1"/>
  <c r="AO11" i="28" s="1"/>
  <c r="AO19" i="28" s="1"/>
  <c r="G137" i="12" l="1"/>
  <c r="G96" i="12"/>
  <c r="AR38" i="28"/>
  <c r="K54" i="12"/>
  <c r="K137" i="12" s="1"/>
  <c r="I59" i="12"/>
  <c r="AT6" i="28"/>
  <c r="AT7" i="28" s="1"/>
  <c r="AT8" i="28"/>
  <c r="AR35" i="29"/>
  <c r="AR34" i="29"/>
  <c r="AR36" i="29"/>
  <c r="AR9" i="3"/>
  <c r="B54" i="12"/>
  <c r="B96" i="12" s="1"/>
  <c r="AS35" i="28"/>
  <c r="AS34" i="28"/>
  <c r="AS36" i="28"/>
  <c r="AB32" i="43"/>
  <c r="AC32" i="43" s="1"/>
  <c r="AQ38" i="1"/>
  <c r="AO41" i="43"/>
  <c r="AQ10" i="3" s="1"/>
  <c r="AQ23" i="3" s="1"/>
  <c r="AC30" i="43"/>
  <c r="AB31" i="43"/>
  <c r="AT5" i="29"/>
  <c r="AN16" i="47"/>
  <c r="AU5" i="28" s="1"/>
  <c r="AT5" i="1"/>
  <c r="AS8" i="1"/>
  <c r="AS6" i="1"/>
  <c r="AS7" i="1" s="1"/>
  <c r="AS6" i="29"/>
  <c r="AS7" i="29" s="1"/>
  <c r="AS8" i="29"/>
  <c r="AR34" i="1"/>
  <c r="AR35" i="1"/>
  <c r="AR36" i="1"/>
  <c r="AS9" i="3" s="1"/>
  <c r="D99" i="12"/>
  <c r="D140" i="12"/>
  <c r="Y25" i="41"/>
  <c r="Y23" i="41"/>
  <c r="AQ4" i="1"/>
  <c r="AP9" i="1"/>
  <c r="AP10" i="1" s="1"/>
  <c r="H57" i="12"/>
  <c r="AS30" i="29"/>
  <c r="AG30" i="1"/>
  <c r="AF11" i="1"/>
  <c r="F59" i="12"/>
  <c r="L58" i="12"/>
  <c r="AR4" i="29"/>
  <c r="AQ9" i="29"/>
  <c r="AQ10" i="29" s="1"/>
  <c r="M56" i="12"/>
  <c r="C97" i="12"/>
  <c r="C138" i="12"/>
  <c r="AE24" i="1"/>
  <c r="AE19" i="1" s="1"/>
  <c r="AF8" i="3" s="1"/>
  <c r="AF52" i="3" s="1"/>
  <c r="AE18" i="1"/>
  <c r="E139" i="12"/>
  <c r="E57" i="12" s="1"/>
  <c r="E98" i="12"/>
  <c r="AQ38" i="29"/>
  <c r="AR13" i="3"/>
  <c r="AP19" i="41"/>
  <c r="AO26" i="41"/>
  <c r="AO29" i="41" s="1"/>
  <c r="AO37" i="41" s="1"/>
  <c r="AB35" i="46"/>
  <c r="AB36" i="46" s="1"/>
  <c r="AB35" i="43"/>
  <c r="AB36" i="43" s="1"/>
  <c r="AP11" i="29"/>
  <c r="AP19" i="29" s="1"/>
  <c r="AQ7" i="3"/>
  <c r="B137" i="12"/>
  <c r="AR17" i="28"/>
  <c r="AR21" i="28" s="1"/>
  <c r="AF17" i="1"/>
  <c r="AF21" i="1" s="1"/>
  <c r="P53" i="12"/>
  <c r="R53" i="12" s="1"/>
  <c r="S53" i="12" s="1"/>
  <c r="N95" i="12"/>
  <c r="N136" i="12"/>
  <c r="J98" i="12"/>
  <c r="J139" i="12"/>
  <c r="AQ24" i="28"/>
  <c r="AQ18" i="28"/>
  <c r="I101" i="12"/>
  <c r="I142" i="12"/>
  <c r="AQ4" i="28"/>
  <c r="AP9" i="28"/>
  <c r="AP10" i="28" s="1"/>
  <c r="AP11" i="28" s="1"/>
  <c r="AP19" i="28" s="1"/>
  <c r="AS38" i="28" l="1"/>
  <c r="N54" i="12"/>
  <c r="K96" i="12"/>
  <c r="K55" i="12" s="1"/>
  <c r="AC31" i="43"/>
  <c r="G55" i="12"/>
  <c r="I60" i="12"/>
  <c r="J57" i="12"/>
  <c r="J140" i="12" s="1"/>
  <c r="D58" i="12"/>
  <c r="AS34" i="29"/>
  <c r="AS36" i="29"/>
  <c r="AS35" i="29"/>
  <c r="AU6" i="28"/>
  <c r="AU7" i="28" s="1"/>
  <c r="AU8" i="28"/>
  <c r="AT36" i="28"/>
  <c r="AT35" i="28"/>
  <c r="AT34" i="28"/>
  <c r="AP41" i="43"/>
  <c r="AR10" i="3" s="1"/>
  <c r="AR23" i="3" s="1"/>
  <c r="AD30" i="43"/>
  <c r="AD32" i="43" s="1"/>
  <c r="AR38" i="1"/>
  <c r="AS34" i="1"/>
  <c r="AS35" i="1"/>
  <c r="AS36" i="1"/>
  <c r="AU5" i="29"/>
  <c r="AU5" i="1"/>
  <c r="AO16" i="47"/>
  <c r="AV5" i="28" s="1"/>
  <c r="AT8" i="1"/>
  <c r="AT6" i="1"/>
  <c r="AT7" i="1" s="1"/>
  <c r="AT6" i="29"/>
  <c r="AT7" i="29" s="1"/>
  <c r="AT8" i="29"/>
  <c r="I102" i="12"/>
  <c r="I143" i="12"/>
  <c r="AF24" i="1"/>
  <c r="AF19" i="1" s="1"/>
  <c r="AG8" i="3" s="1"/>
  <c r="AG52" i="3" s="1"/>
  <c r="AF18" i="1"/>
  <c r="B55" i="12"/>
  <c r="AG17" i="1"/>
  <c r="AG21" i="1" s="1"/>
  <c r="AS17" i="28"/>
  <c r="AS21" i="28" s="1"/>
  <c r="P54" i="12"/>
  <c r="R54" i="12" s="1"/>
  <c r="S54" i="12" s="1"/>
  <c r="N137" i="12"/>
  <c r="N96" i="12"/>
  <c r="AP26" i="41"/>
  <c r="AP29" i="41" s="1"/>
  <c r="AP37" i="41" s="1"/>
  <c r="AQ19" i="41"/>
  <c r="C56" i="12"/>
  <c r="M98" i="12"/>
  <c r="M139" i="12"/>
  <c r="AS4" i="29"/>
  <c r="AR9" i="29"/>
  <c r="AR10" i="29" s="1"/>
  <c r="L100" i="12"/>
  <c r="L141" i="12"/>
  <c r="H99" i="12"/>
  <c r="H140" i="12"/>
  <c r="AR4" i="1"/>
  <c r="AQ9" i="1"/>
  <c r="AQ10" i="1" s="1"/>
  <c r="AR7" i="3" s="1"/>
  <c r="J99" i="12"/>
  <c r="AR24" i="28"/>
  <c r="AR18" i="28"/>
  <c r="E140" i="12"/>
  <c r="E99" i="12"/>
  <c r="AC35" i="46"/>
  <c r="AC36" i="46" s="1"/>
  <c r="AC35" i="43"/>
  <c r="AC36" i="43" s="1"/>
  <c r="AQ11" i="29"/>
  <c r="AQ19" i="29" s="1"/>
  <c r="F101" i="12"/>
  <c r="F142" i="12"/>
  <c r="AH30" i="1"/>
  <c r="AG11" i="1"/>
  <c r="AR38" i="29"/>
  <c r="AS13" i="3"/>
  <c r="AT30" i="29"/>
  <c r="D100" i="12"/>
  <c r="D141" i="12"/>
  <c r="AR4" i="28"/>
  <c r="AQ9" i="28"/>
  <c r="AQ10" i="28" s="1"/>
  <c r="AQ11" i="28" s="1"/>
  <c r="AQ19" i="28" s="1"/>
  <c r="K97" i="12" l="1"/>
  <c r="K138" i="12"/>
  <c r="K56" i="12" s="1"/>
  <c r="J58" i="12"/>
  <c r="F60" i="12"/>
  <c r="F143" i="12" s="1"/>
  <c r="G97" i="12"/>
  <c r="G138" i="12"/>
  <c r="G56" i="12" s="1"/>
  <c r="G139" i="12" s="1"/>
  <c r="AT34" i="29"/>
  <c r="AT35" i="29"/>
  <c r="AT36" i="29"/>
  <c r="AV6" i="28"/>
  <c r="AV7" i="28" s="1"/>
  <c r="AV8" i="28"/>
  <c r="AU35" i="28"/>
  <c r="AU34" i="28"/>
  <c r="AU36" i="28"/>
  <c r="AT38" i="28"/>
  <c r="H58" i="12"/>
  <c r="H100" i="12" s="1"/>
  <c r="AT9" i="3"/>
  <c r="AD31" i="43"/>
  <c r="AS10" i="3"/>
  <c r="AS23" i="3" s="1"/>
  <c r="AQ41" i="43"/>
  <c r="AE30" i="43"/>
  <c r="AE32" i="43" s="1"/>
  <c r="AT34" i="1"/>
  <c r="AT35" i="1"/>
  <c r="AT36" i="1"/>
  <c r="AU9" i="3" s="1"/>
  <c r="AU8" i="1"/>
  <c r="AU6" i="1"/>
  <c r="AU7" i="1" s="1"/>
  <c r="AS38" i="1"/>
  <c r="AV5" i="29"/>
  <c r="AV5" i="1"/>
  <c r="AP16" i="47"/>
  <c r="AW5" i="28" s="1"/>
  <c r="AU8" i="29"/>
  <c r="AU6" i="29"/>
  <c r="AU7" i="29" s="1"/>
  <c r="F102" i="12"/>
  <c r="D59" i="12"/>
  <c r="AU30" i="29"/>
  <c r="AI30" i="1"/>
  <c r="AH11" i="1"/>
  <c r="E58" i="12"/>
  <c r="AS4" i="1"/>
  <c r="AR9" i="1"/>
  <c r="AR10" i="1" s="1"/>
  <c r="AS7" i="3" s="1"/>
  <c r="L59" i="12"/>
  <c r="AD35" i="46"/>
  <c r="AD36" i="46" s="1"/>
  <c r="AD35" i="43"/>
  <c r="AD36" i="43" s="1"/>
  <c r="AR11" i="29"/>
  <c r="AR19" i="29" s="1"/>
  <c r="M57" i="12"/>
  <c r="C139" i="12"/>
  <c r="C98" i="12"/>
  <c r="AG24" i="1"/>
  <c r="AG19" i="1" s="1"/>
  <c r="AH8" i="3" s="1"/>
  <c r="AH52" i="3" s="1"/>
  <c r="AG18" i="1"/>
  <c r="I61" i="12"/>
  <c r="AS38" i="29"/>
  <c r="AT13" i="3"/>
  <c r="J100" i="12"/>
  <c r="J141" i="12"/>
  <c r="H141" i="12"/>
  <c r="AT4" i="29"/>
  <c r="AS9" i="29"/>
  <c r="AS10" i="29" s="1"/>
  <c r="AQ26" i="41"/>
  <c r="AQ29" i="41" s="1"/>
  <c r="AQ37" i="41" s="1"/>
  <c r="AR19" i="41"/>
  <c r="AS18" i="28"/>
  <c r="AS24" i="28"/>
  <c r="N55" i="12"/>
  <c r="B138" i="12"/>
  <c r="B97" i="12"/>
  <c r="AS4" i="28"/>
  <c r="AR9" i="28"/>
  <c r="AR10" i="28" s="1"/>
  <c r="AR11" i="28" s="1"/>
  <c r="AR19" i="28" s="1"/>
  <c r="Z21" i="41"/>
  <c r="K139" i="12" l="1"/>
  <c r="K98" i="12"/>
  <c r="G98" i="12"/>
  <c r="G57" i="12" s="1"/>
  <c r="H59" i="12"/>
  <c r="K57" i="12"/>
  <c r="K140" i="12" s="1"/>
  <c r="K58" i="12" s="1"/>
  <c r="AU36" i="29"/>
  <c r="AU34" i="29"/>
  <c r="AU35" i="29"/>
  <c r="AU38" i="28"/>
  <c r="AW6" i="28"/>
  <c r="AW7" i="28" s="1"/>
  <c r="AW8" i="28"/>
  <c r="F61" i="12"/>
  <c r="F144" i="12" s="1"/>
  <c r="AE31" i="43"/>
  <c r="AV35" i="28"/>
  <c r="AV36" i="28"/>
  <c r="AV34" i="28"/>
  <c r="AT10" i="3"/>
  <c r="AT23" i="3" s="1"/>
  <c r="AR41" i="43"/>
  <c r="AF30" i="43"/>
  <c r="AV6" i="1"/>
  <c r="AV7" i="1" s="1"/>
  <c r="AV8" i="1"/>
  <c r="AU35" i="1"/>
  <c r="AU36" i="1"/>
  <c r="AU34" i="1"/>
  <c r="AW5" i="1"/>
  <c r="AW5" i="29"/>
  <c r="AV6" i="29"/>
  <c r="AV7" i="29" s="1"/>
  <c r="AV8" i="29"/>
  <c r="AT38" i="1"/>
  <c r="AT17" i="28"/>
  <c r="AT21" i="28" s="1"/>
  <c r="AH17" i="1"/>
  <c r="AH21" i="1" s="1"/>
  <c r="P55" i="12"/>
  <c r="R55" i="12" s="1"/>
  <c r="S55" i="12" s="1"/>
  <c r="N138" i="12"/>
  <c r="N97" i="12"/>
  <c r="AE35" i="46"/>
  <c r="AE36" i="46" s="1"/>
  <c r="AE35" i="43"/>
  <c r="AE36" i="43" s="1"/>
  <c r="AS11" i="29"/>
  <c r="AS19" i="29" s="1"/>
  <c r="Z25" i="41"/>
  <c r="Z23" i="41"/>
  <c r="B56" i="12"/>
  <c r="AR26" i="41"/>
  <c r="AR29" i="41" s="1"/>
  <c r="AR37" i="41" s="1"/>
  <c r="AS19" i="41"/>
  <c r="AU4" i="29"/>
  <c r="AT9" i="29"/>
  <c r="AT10" i="29" s="1"/>
  <c r="J59" i="12"/>
  <c r="I144" i="12"/>
  <c r="I103" i="12"/>
  <c r="C57" i="12"/>
  <c r="L101" i="12"/>
  <c r="L142" i="12"/>
  <c r="AT4" i="1"/>
  <c r="AS9" i="1"/>
  <c r="AS10" i="1" s="1"/>
  <c r="AT7" i="3" s="1"/>
  <c r="AT38" i="29"/>
  <c r="AU13" i="3"/>
  <c r="H142" i="12"/>
  <c r="H101" i="12"/>
  <c r="K99" i="12"/>
  <c r="M140" i="12"/>
  <c r="M99" i="12"/>
  <c r="E141" i="12"/>
  <c r="E100" i="12"/>
  <c r="AJ30" i="1"/>
  <c r="AI11" i="1"/>
  <c r="AV30" i="29"/>
  <c r="D101" i="12"/>
  <c r="D142" i="12"/>
  <c r="F103" i="12"/>
  <c r="AT4" i="28"/>
  <c r="AS9" i="28"/>
  <c r="AS10" i="28" s="1"/>
  <c r="AS11" i="28" s="1"/>
  <c r="AS19" i="28" s="1"/>
  <c r="G140" i="12" l="1"/>
  <c r="G99" i="12"/>
  <c r="G58" i="12" s="1"/>
  <c r="I62" i="12"/>
  <c r="AV35" i="29"/>
  <c r="AV36" i="29"/>
  <c r="AV34" i="29"/>
  <c r="AU38" i="1"/>
  <c r="AV38" i="28"/>
  <c r="AV9" i="3"/>
  <c r="AF31" i="43"/>
  <c r="AW36" i="28"/>
  <c r="AW35" i="28"/>
  <c r="AW34" i="28"/>
  <c r="E59" i="12"/>
  <c r="E101" i="12" s="1"/>
  <c r="AU10" i="3"/>
  <c r="AU23" i="3" s="1"/>
  <c r="AS41" i="43"/>
  <c r="AF32" i="43"/>
  <c r="AW6" i="1"/>
  <c r="AW7" i="1" s="1"/>
  <c r="AW8" i="1"/>
  <c r="AV34" i="1"/>
  <c r="AV35" i="1"/>
  <c r="AV36" i="1"/>
  <c r="AW6" i="29"/>
  <c r="AW7" i="29" s="1"/>
  <c r="AW8" i="29"/>
  <c r="AW30" i="29"/>
  <c r="AK30" i="1"/>
  <c r="AJ11" i="1"/>
  <c r="F62" i="12"/>
  <c r="D60" i="12"/>
  <c r="AU38" i="29"/>
  <c r="AV13" i="3"/>
  <c r="M58" i="12"/>
  <c r="H60" i="12"/>
  <c r="L60" i="12"/>
  <c r="J142" i="12"/>
  <c r="J101" i="12"/>
  <c r="AV4" i="29"/>
  <c r="AU9" i="29"/>
  <c r="AU10" i="29" s="1"/>
  <c r="N56" i="12"/>
  <c r="B139" i="12"/>
  <c r="B98" i="12"/>
  <c r="AH18" i="1"/>
  <c r="AH24" i="1"/>
  <c r="AH19" i="1" s="1"/>
  <c r="AI8" i="3" s="1"/>
  <c r="AI52" i="3" s="1"/>
  <c r="K141" i="12"/>
  <c r="K100" i="12"/>
  <c r="AU4" i="1"/>
  <c r="AT9" i="1"/>
  <c r="AT10" i="1" s="1"/>
  <c r="C99" i="12"/>
  <c r="C140" i="12"/>
  <c r="I145" i="12"/>
  <c r="I104" i="12"/>
  <c r="AF35" i="46"/>
  <c r="AF36" i="46" s="1"/>
  <c r="AF35" i="43"/>
  <c r="AF36" i="43" s="1"/>
  <c r="AT11" i="29"/>
  <c r="AT19" i="29" s="1"/>
  <c r="AU7" i="3"/>
  <c r="AS26" i="41"/>
  <c r="AS29" i="41" s="1"/>
  <c r="AS37" i="41" s="1"/>
  <c r="AT19" i="41"/>
  <c r="AT24" i="28"/>
  <c r="AT18" i="28"/>
  <c r="AU4" i="28"/>
  <c r="AT9" i="28"/>
  <c r="AT10" i="28" s="1"/>
  <c r="AT11" i="28" s="1"/>
  <c r="AA21" i="41"/>
  <c r="K59" i="12" l="1"/>
  <c r="I63" i="12"/>
  <c r="I105" i="12" s="1"/>
  <c r="E142" i="12"/>
  <c r="E60" i="12" s="1"/>
  <c r="AW38" i="28"/>
  <c r="J60" i="12"/>
  <c r="J102" i="12" s="1"/>
  <c r="AW34" i="29"/>
  <c r="AW35" i="29"/>
  <c r="AW36" i="29"/>
  <c r="AT19" i="28"/>
  <c r="AW35" i="1"/>
  <c r="AW36" i="1"/>
  <c r="AW34" i="1"/>
  <c r="AV38" i="1"/>
  <c r="AT26" i="41"/>
  <c r="AT29" i="41" s="1"/>
  <c r="AT37" i="41" s="1"/>
  <c r="AA25" i="41"/>
  <c r="AA23" i="41"/>
  <c r="C58" i="12"/>
  <c r="B57" i="12"/>
  <c r="AU11" i="29"/>
  <c r="AU19" i="29" s="1"/>
  <c r="L143" i="12"/>
  <c r="L102" i="12"/>
  <c r="H143" i="12"/>
  <c r="H102" i="12"/>
  <c r="G141" i="12"/>
  <c r="G100" i="12"/>
  <c r="F145" i="12"/>
  <c r="F104" i="12"/>
  <c r="AL30" i="1"/>
  <c r="AK11" i="1"/>
  <c r="AV38" i="29"/>
  <c r="AX30" i="29"/>
  <c r="AV4" i="1"/>
  <c r="AU9" i="1"/>
  <c r="AU10" i="1" s="1"/>
  <c r="AV7" i="3" s="1"/>
  <c r="K142" i="12"/>
  <c r="K101" i="12"/>
  <c r="AU17" i="28"/>
  <c r="AU21" i="28" s="1"/>
  <c r="AI17" i="1"/>
  <c r="AI21" i="1" s="1"/>
  <c r="P56" i="12"/>
  <c r="R56" i="12" s="1"/>
  <c r="S56" i="12" s="1"/>
  <c r="N139" i="12"/>
  <c r="N98" i="12"/>
  <c r="AW4" i="29"/>
  <c r="AV9" i="29"/>
  <c r="AV10" i="29" s="1"/>
  <c r="AV11" i="29" s="1"/>
  <c r="AV19" i="29" s="1"/>
  <c r="J143" i="12"/>
  <c r="M141" i="12"/>
  <c r="M100" i="12"/>
  <c r="D143" i="12"/>
  <c r="D61" i="12" s="1"/>
  <c r="D102" i="12"/>
  <c r="E143" i="12"/>
  <c r="E102" i="12"/>
  <c r="AV4" i="28"/>
  <c r="AU9" i="28"/>
  <c r="AU10" i="28" s="1"/>
  <c r="AU11" i="28" s="1"/>
  <c r="I146" i="12" l="1"/>
  <c r="AW38" i="1"/>
  <c r="J61" i="12"/>
  <c r="G59" i="12"/>
  <c r="G142" i="12" s="1"/>
  <c r="E61" i="12"/>
  <c r="M59" i="12"/>
  <c r="M101" i="12" s="1"/>
  <c r="L61" i="12"/>
  <c r="F63" i="12"/>
  <c r="F146" i="12" s="1"/>
  <c r="H61" i="12"/>
  <c r="AW38" i="29"/>
  <c r="AU24" i="28"/>
  <c r="AU19" i="28" s="1"/>
  <c r="AU18" i="28"/>
  <c r="K60" i="12"/>
  <c r="AW4" i="1"/>
  <c r="AV9" i="1"/>
  <c r="AV10" i="1" s="1"/>
  <c r="I64" i="12"/>
  <c r="AY30" i="29"/>
  <c r="AX38" i="29"/>
  <c r="N57" i="12"/>
  <c r="B140" i="12"/>
  <c r="B58" i="12" s="1"/>
  <c r="B99" i="12"/>
  <c r="C141" i="12"/>
  <c r="C59" i="12" s="1"/>
  <c r="C100" i="12"/>
  <c r="E103" i="12"/>
  <c r="E144" i="12"/>
  <c r="D103" i="12"/>
  <c r="D144" i="12"/>
  <c r="M142" i="12"/>
  <c r="J103" i="12"/>
  <c r="J144" i="12"/>
  <c r="AX4" i="29"/>
  <c r="AW9" i="29"/>
  <c r="AW10" i="29" s="1"/>
  <c r="AW11" i="29" s="1"/>
  <c r="AW19" i="29" s="1"/>
  <c r="AI18" i="1"/>
  <c r="AI24" i="1"/>
  <c r="AI19" i="1" s="1"/>
  <c r="AJ8" i="3" s="1"/>
  <c r="AJ52" i="3" s="1"/>
  <c r="AM30" i="1"/>
  <c r="AL11" i="1"/>
  <c r="F105" i="12"/>
  <c r="G101" i="12"/>
  <c r="H103" i="12"/>
  <c r="H144" i="12"/>
  <c r="L144" i="12"/>
  <c r="L103" i="12"/>
  <c r="AW4" i="28"/>
  <c r="AV9" i="28"/>
  <c r="AV10" i="28" s="1"/>
  <c r="AV11" i="28" s="1"/>
  <c r="F64" i="12" l="1"/>
  <c r="G60" i="12"/>
  <c r="G143" i="12" s="1"/>
  <c r="G61" i="12" s="1"/>
  <c r="M60" i="12"/>
  <c r="H62" i="12"/>
  <c r="H145" i="12" s="1"/>
  <c r="AJ12" i="3"/>
  <c r="AJ14" i="3" s="1"/>
  <c r="AJ17" i="3" s="1"/>
  <c r="AJ53" i="3"/>
  <c r="L62" i="12"/>
  <c r="AN30" i="1"/>
  <c r="AM11" i="1"/>
  <c r="J62" i="12"/>
  <c r="D62" i="12"/>
  <c r="E62" i="12"/>
  <c r="AJ17" i="1"/>
  <c r="AJ21" i="1" s="1"/>
  <c r="P57" i="12"/>
  <c r="R57" i="12" s="1"/>
  <c r="S57" i="12" s="1"/>
  <c r="N140" i="12"/>
  <c r="N99" i="12"/>
  <c r="AZ30" i="29"/>
  <c r="K143" i="12"/>
  <c r="K102" i="12"/>
  <c r="H104" i="12"/>
  <c r="G102" i="12"/>
  <c r="F147" i="12"/>
  <c r="F106" i="12"/>
  <c r="AY4" i="29"/>
  <c r="AX9" i="29"/>
  <c r="AX10" i="29" s="1"/>
  <c r="AX11" i="29" s="1"/>
  <c r="AX19" i="29" s="1"/>
  <c r="M143" i="12"/>
  <c r="M102" i="12"/>
  <c r="C101" i="12"/>
  <c r="C142" i="12"/>
  <c r="N58" i="12"/>
  <c r="B100" i="12"/>
  <c r="B141" i="12"/>
  <c r="I106" i="12"/>
  <c r="I147" i="12"/>
  <c r="AX4" i="1"/>
  <c r="AW9" i="1"/>
  <c r="AW10" i="1" s="1"/>
  <c r="AX4" i="28"/>
  <c r="AW9" i="28"/>
  <c r="AW10" i="28" s="1"/>
  <c r="AW11" i="28" s="1"/>
  <c r="AB21" i="41"/>
  <c r="I65" i="12" l="1"/>
  <c r="I148" i="12" s="1"/>
  <c r="M61" i="12"/>
  <c r="F65" i="12"/>
  <c r="F148" i="12" s="1"/>
  <c r="B59" i="12"/>
  <c r="N59" i="12" s="1"/>
  <c r="I107" i="12"/>
  <c r="AB25" i="41"/>
  <c r="AB23" i="41"/>
  <c r="AY4" i="1"/>
  <c r="AX9" i="1"/>
  <c r="AX10" i="1" s="1"/>
  <c r="C60" i="12"/>
  <c r="H63" i="12"/>
  <c r="K61" i="12"/>
  <c r="AY38" i="29"/>
  <c r="E104" i="12"/>
  <c r="E145" i="12"/>
  <c r="J145" i="12"/>
  <c r="J104" i="12"/>
  <c r="AO30" i="1"/>
  <c r="AN11" i="1"/>
  <c r="AV17" i="28"/>
  <c r="AV21" i="28" s="1"/>
  <c r="AK17" i="1"/>
  <c r="AK21" i="1" s="1"/>
  <c r="P58" i="12"/>
  <c r="R58" i="12" s="1"/>
  <c r="S58" i="12" s="1"/>
  <c r="N141" i="12"/>
  <c r="N100" i="12"/>
  <c r="M103" i="12"/>
  <c r="M144" i="12"/>
  <c r="AZ4" i="29"/>
  <c r="AY9" i="29"/>
  <c r="AY10" i="29" s="1"/>
  <c r="AY11" i="29" s="1"/>
  <c r="AY19" i="29" s="1"/>
  <c r="G103" i="12"/>
  <c r="G144" i="12"/>
  <c r="BA30" i="29"/>
  <c r="AJ18" i="1"/>
  <c r="AJ24" i="1"/>
  <c r="AJ19" i="1" s="1"/>
  <c r="AK8" i="3" s="1"/>
  <c r="AK52" i="3" s="1"/>
  <c r="D104" i="12"/>
  <c r="D145" i="12"/>
  <c r="L145" i="12"/>
  <c r="L104" i="12"/>
  <c r="AY4" i="28"/>
  <c r="AX9" i="28"/>
  <c r="AX10" i="28" s="1"/>
  <c r="AX11" i="28" s="1"/>
  <c r="L63" i="12" l="1"/>
  <c r="F107" i="12"/>
  <c r="F66" i="12" s="1"/>
  <c r="B142" i="12"/>
  <c r="B101" i="12"/>
  <c r="J63" i="12"/>
  <c r="AZ38" i="29"/>
  <c r="AK12" i="3"/>
  <c r="AK14" i="3" s="1"/>
  <c r="AK17" i="3" s="1"/>
  <c r="AK53" i="3"/>
  <c r="BB30" i="29"/>
  <c r="D63" i="12"/>
  <c r="G62" i="12"/>
  <c r="M62" i="12"/>
  <c r="AV24" i="28"/>
  <c r="AV19" i="28" s="1"/>
  <c r="AV18" i="28"/>
  <c r="B60" i="12"/>
  <c r="E63" i="12"/>
  <c r="H146" i="12"/>
  <c r="H105" i="12"/>
  <c r="I66" i="12"/>
  <c r="L146" i="12"/>
  <c r="L105" i="12"/>
  <c r="BA4" i="29"/>
  <c r="AZ9" i="29"/>
  <c r="AZ10" i="29" s="1"/>
  <c r="AZ11" i="29" s="1"/>
  <c r="AZ19" i="29" s="1"/>
  <c r="AK24" i="1"/>
  <c r="AK19" i="1" s="1"/>
  <c r="AL8" i="3" s="1"/>
  <c r="AL52" i="3" s="1"/>
  <c r="AK18" i="1"/>
  <c r="AW17" i="28"/>
  <c r="AW21" i="28" s="1"/>
  <c r="P59" i="12"/>
  <c r="R59" i="12" s="1"/>
  <c r="S59" i="12" s="1"/>
  <c r="AL17" i="1"/>
  <c r="AL21" i="1" s="1"/>
  <c r="N101" i="12"/>
  <c r="N142" i="12"/>
  <c r="AP30" i="1"/>
  <c r="AO11" i="1"/>
  <c r="J146" i="12"/>
  <c r="J105" i="12"/>
  <c r="K103" i="12"/>
  <c r="K144" i="12"/>
  <c r="K62" i="12" s="1"/>
  <c r="C143" i="12"/>
  <c r="C102" i="12"/>
  <c r="AZ4" i="1"/>
  <c r="AZ9" i="1" s="1"/>
  <c r="AZ10" i="1" s="1"/>
  <c r="AY9" i="1"/>
  <c r="AY10" i="1" s="1"/>
  <c r="AZ4" i="28"/>
  <c r="AY9" i="28"/>
  <c r="AY10" i="28" s="1"/>
  <c r="AY11" i="28" s="1"/>
  <c r="AC21" i="41"/>
  <c r="F108" i="12" l="1"/>
  <c r="F67" i="12" s="1"/>
  <c r="F149" i="12"/>
  <c r="H64" i="12"/>
  <c r="H106" i="12" s="1"/>
  <c r="L64" i="12"/>
  <c r="L147" i="12" s="1"/>
  <c r="AL12" i="3"/>
  <c r="AL14" i="3" s="1"/>
  <c r="AL17" i="3" s="1"/>
  <c r="AL53" i="3"/>
  <c r="AC25" i="41"/>
  <c r="AC23" i="41"/>
  <c r="C61" i="12"/>
  <c r="J64" i="12"/>
  <c r="AQ30" i="1"/>
  <c r="AP11" i="1"/>
  <c r="I108" i="12"/>
  <c r="I149" i="12"/>
  <c r="E105" i="12"/>
  <c r="E146" i="12"/>
  <c r="M145" i="12"/>
  <c r="M104" i="12"/>
  <c r="D105" i="12"/>
  <c r="D146" i="12"/>
  <c r="BA38" i="29"/>
  <c r="K104" i="12"/>
  <c r="K145" i="12"/>
  <c r="AL18" i="1"/>
  <c r="AL24" i="1"/>
  <c r="AL19" i="1" s="1"/>
  <c r="AM8" i="3" s="1"/>
  <c r="AM52" i="3" s="1"/>
  <c r="AW18" i="28"/>
  <c r="AW24" i="28"/>
  <c r="AW19" i="28" s="1"/>
  <c r="BB4" i="29"/>
  <c r="BB9" i="29" s="1"/>
  <c r="BB10" i="29" s="1"/>
  <c r="BB11" i="29" s="1"/>
  <c r="BB19" i="29" s="1"/>
  <c r="BA9" i="29"/>
  <c r="BA10" i="29" s="1"/>
  <c r="BA11" i="29" s="1"/>
  <c r="BA19" i="29" s="1"/>
  <c r="L106" i="12"/>
  <c r="N60" i="12"/>
  <c r="B102" i="12"/>
  <c r="B143" i="12"/>
  <c r="G145" i="12"/>
  <c r="G104" i="12"/>
  <c r="BB38" i="29"/>
  <c r="BA4" i="28"/>
  <c r="AZ9" i="28"/>
  <c r="AZ10" i="28" s="1"/>
  <c r="AZ11" i="28" s="1"/>
  <c r="F109" i="12" l="1"/>
  <c r="F150" i="12"/>
  <c r="H147" i="12"/>
  <c r="D64" i="12"/>
  <c r="E64" i="12"/>
  <c r="B61" i="12"/>
  <c r="I67" i="12"/>
  <c r="I150" i="12" s="1"/>
  <c r="AM53" i="3"/>
  <c r="AM12" i="3"/>
  <c r="AM14" i="3" s="1"/>
  <c r="AM17" i="3" s="1"/>
  <c r="G63" i="12"/>
  <c r="H65" i="12"/>
  <c r="L65" i="12"/>
  <c r="F68" i="12"/>
  <c r="K63" i="12"/>
  <c r="M63" i="12"/>
  <c r="AR30" i="1"/>
  <c r="AQ11" i="1"/>
  <c r="C103" i="12"/>
  <c r="C144" i="12"/>
  <c r="N61" i="12"/>
  <c r="B103" i="12"/>
  <c r="B144" i="12"/>
  <c r="AX17" i="28"/>
  <c r="AX21" i="28" s="1"/>
  <c r="AM17" i="1"/>
  <c r="AM21" i="1" s="1"/>
  <c r="P60" i="12"/>
  <c r="R60" i="12" s="1"/>
  <c r="S60" i="12" s="1"/>
  <c r="N102" i="12"/>
  <c r="N143" i="12"/>
  <c r="D106" i="12"/>
  <c r="D147" i="12"/>
  <c r="D65" i="12" s="1"/>
  <c r="E106" i="12"/>
  <c r="E147" i="12"/>
  <c r="I109" i="12"/>
  <c r="J147" i="12"/>
  <c r="J106" i="12"/>
  <c r="BB4" i="28"/>
  <c r="BA9" i="28"/>
  <c r="BA10" i="28" s="1"/>
  <c r="BA11" i="28" s="1"/>
  <c r="E65" i="12" l="1"/>
  <c r="C62" i="12"/>
  <c r="J65" i="12"/>
  <c r="I68" i="12"/>
  <c r="AM18" i="1"/>
  <c r="AM24" i="1"/>
  <c r="AM19" i="1" s="1"/>
  <c r="AN8" i="3" s="1"/>
  <c r="AN52" i="3" s="1"/>
  <c r="B62" i="12"/>
  <c r="AY17" i="28"/>
  <c r="AY21" i="28" s="1"/>
  <c r="P61" i="12"/>
  <c r="R61" i="12" s="1"/>
  <c r="S61" i="12" s="1"/>
  <c r="AN17" i="1"/>
  <c r="AN21" i="1" s="1"/>
  <c r="N144" i="12"/>
  <c r="N103" i="12"/>
  <c r="AS30" i="1"/>
  <c r="AR11" i="1"/>
  <c r="K105" i="12"/>
  <c r="K146" i="12"/>
  <c r="K64" i="12" s="1"/>
  <c r="L107" i="12"/>
  <c r="L148" i="12"/>
  <c r="L66" i="12" s="1"/>
  <c r="G105" i="12"/>
  <c r="G146" i="12"/>
  <c r="G64" i="12" s="1"/>
  <c r="E107" i="12"/>
  <c r="E148" i="12"/>
  <c r="D107" i="12"/>
  <c r="D148" i="12"/>
  <c r="D66" i="12" s="1"/>
  <c r="AX24" i="28"/>
  <c r="AX19" i="28" s="1"/>
  <c r="AX18" i="28"/>
  <c r="C145" i="12"/>
  <c r="C104" i="12"/>
  <c r="M105" i="12"/>
  <c r="M146" i="12"/>
  <c r="F110" i="12"/>
  <c r="F151" i="12"/>
  <c r="F69" i="12" s="1"/>
  <c r="H148" i="12"/>
  <c r="H107" i="12"/>
  <c r="BB9" i="28"/>
  <c r="BB10" i="28" s="1"/>
  <c r="BB11" i="28" s="1"/>
  <c r="M64" i="12" l="1"/>
  <c r="E66" i="12"/>
  <c r="AN53" i="3"/>
  <c r="AN12" i="3"/>
  <c r="AN14" i="3" s="1"/>
  <c r="AN17" i="3" s="1"/>
  <c r="H66" i="12"/>
  <c r="C63" i="12"/>
  <c r="AT30" i="1"/>
  <c r="AS11" i="1"/>
  <c r="N62" i="12"/>
  <c r="B104" i="12"/>
  <c r="B145" i="12"/>
  <c r="J107" i="12"/>
  <c r="J148" i="12"/>
  <c r="F111" i="12"/>
  <c r="F152" i="12"/>
  <c r="M106" i="12"/>
  <c r="M147" i="12"/>
  <c r="D108" i="12"/>
  <c r="D149" i="12"/>
  <c r="E149" i="12"/>
  <c r="E108" i="12"/>
  <c r="G147" i="12"/>
  <c r="G65" i="12" s="1"/>
  <c r="G106" i="12"/>
  <c r="L149" i="12"/>
  <c r="L108" i="12"/>
  <c r="K106" i="12"/>
  <c r="K147" i="12"/>
  <c r="AN18" i="1"/>
  <c r="AN24" i="1"/>
  <c r="AN19" i="1" s="1"/>
  <c r="AO8" i="3" s="1"/>
  <c r="AO52" i="3" s="1"/>
  <c r="AY24" i="28"/>
  <c r="AY19" i="28" s="1"/>
  <c r="AY18" i="28"/>
  <c r="I151" i="12"/>
  <c r="I110" i="12"/>
  <c r="AD21" i="41"/>
  <c r="I69" i="12" l="1"/>
  <c r="L67" i="12"/>
  <c r="E67" i="12"/>
  <c r="AO12" i="3"/>
  <c r="AO14" i="3" s="1"/>
  <c r="AO17" i="3" s="1"/>
  <c r="AO53" i="3"/>
  <c r="AD25" i="41"/>
  <c r="AE21" i="41" s="1"/>
  <c r="AD23" i="41"/>
  <c r="L109" i="12"/>
  <c r="L150" i="12"/>
  <c r="G148" i="12"/>
  <c r="G107" i="12"/>
  <c r="K65" i="12"/>
  <c r="D67" i="12"/>
  <c r="M65" i="12"/>
  <c r="F70" i="12"/>
  <c r="J66" i="12"/>
  <c r="B63" i="12"/>
  <c r="AZ17" i="28"/>
  <c r="AZ21" i="28" s="1"/>
  <c r="AO17" i="1"/>
  <c r="AO21" i="1" s="1"/>
  <c r="P62" i="12"/>
  <c r="R62" i="12" s="1"/>
  <c r="S62" i="12" s="1"/>
  <c r="N145" i="12"/>
  <c r="N104" i="12"/>
  <c r="AU30" i="1"/>
  <c r="AT11" i="1"/>
  <c r="H108" i="12"/>
  <c r="H149" i="12"/>
  <c r="H67" i="12" s="1"/>
  <c r="I111" i="12"/>
  <c r="I152" i="12"/>
  <c r="E150" i="12"/>
  <c r="E109" i="12"/>
  <c r="C146" i="12"/>
  <c r="C105" i="12"/>
  <c r="G66" i="12" l="1"/>
  <c r="I70" i="12"/>
  <c r="I112" i="12" s="1"/>
  <c r="H150" i="12"/>
  <c r="H109" i="12"/>
  <c r="AE25" i="41"/>
  <c r="AE23" i="41"/>
  <c r="C64" i="12"/>
  <c r="E68" i="12"/>
  <c r="AV30" i="1"/>
  <c r="AU11" i="1"/>
  <c r="AO24" i="1"/>
  <c r="AO19" i="1" s="1"/>
  <c r="AP8" i="3" s="1"/>
  <c r="AP52" i="3" s="1"/>
  <c r="AO18" i="1"/>
  <c r="N63" i="12"/>
  <c r="B146" i="12"/>
  <c r="B105" i="12"/>
  <c r="F112" i="12"/>
  <c r="F153" i="12"/>
  <c r="D150" i="12"/>
  <c r="D109" i="12"/>
  <c r="L68" i="12"/>
  <c r="I153" i="12"/>
  <c r="AZ24" i="28"/>
  <c r="AZ19" i="28" s="1"/>
  <c r="AZ18" i="28"/>
  <c r="J149" i="12"/>
  <c r="J108" i="12"/>
  <c r="M148" i="12"/>
  <c r="M107" i="12"/>
  <c r="K107" i="12"/>
  <c r="K148" i="12"/>
  <c r="G149" i="12"/>
  <c r="G108" i="12"/>
  <c r="AF21" i="41"/>
  <c r="G67" i="12" l="1"/>
  <c r="M66" i="12"/>
  <c r="H68" i="12"/>
  <c r="J67" i="12"/>
  <c r="J109" i="12" s="1"/>
  <c r="F71" i="12"/>
  <c r="AP53" i="3"/>
  <c r="AP12" i="3"/>
  <c r="AP14" i="3" s="1"/>
  <c r="AP17" i="3" s="1"/>
  <c r="J150" i="12"/>
  <c r="K66" i="12"/>
  <c r="I71" i="12"/>
  <c r="L110" i="12"/>
  <c r="L151" i="12"/>
  <c r="D68" i="12"/>
  <c r="B64" i="12"/>
  <c r="E151" i="12"/>
  <c r="E110" i="12"/>
  <c r="AF25" i="41"/>
  <c r="AG21" i="41" s="1"/>
  <c r="AG23" i="41" s="1"/>
  <c r="AH13" i="29" s="1"/>
  <c r="AH15" i="29" s="1"/>
  <c r="AI31" i="3" s="1"/>
  <c r="AI51" i="3" s="1"/>
  <c r="AF23" i="41"/>
  <c r="G150" i="12"/>
  <c r="G109" i="12"/>
  <c r="M108" i="12"/>
  <c r="M149" i="12"/>
  <c r="F154" i="12"/>
  <c r="F113" i="12"/>
  <c r="BA17" i="28"/>
  <c r="BA21" i="28" s="1"/>
  <c r="P63" i="12"/>
  <c r="R63" i="12" s="1"/>
  <c r="S63" i="12" s="1"/>
  <c r="AP17" i="1"/>
  <c r="AP21" i="1" s="1"/>
  <c r="N146" i="12"/>
  <c r="N105" i="12"/>
  <c r="AW30" i="1"/>
  <c r="AV11" i="1"/>
  <c r="C147" i="12"/>
  <c r="C106" i="12"/>
  <c r="H110" i="12"/>
  <c r="H151" i="12"/>
  <c r="H69" i="12" l="1"/>
  <c r="F72" i="12"/>
  <c r="G68" i="12"/>
  <c r="E69" i="12"/>
  <c r="E152" i="12" s="1"/>
  <c r="J68" i="12"/>
  <c r="H152" i="12"/>
  <c r="H111" i="12"/>
  <c r="C65" i="12"/>
  <c r="AX30" i="1"/>
  <c r="AW11" i="1"/>
  <c r="M67" i="12"/>
  <c r="N64" i="12"/>
  <c r="B106" i="12"/>
  <c r="B147" i="12"/>
  <c r="L69" i="12"/>
  <c r="I113" i="12"/>
  <c r="I154" i="12"/>
  <c r="AP18" i="1"/>
  <c r="AP24" i="1"/>
  <c r="AP19" i="1" s="1"/>
  <c r="AQ8" i="3" s="1"/>
  <c r="AQ52" i="3" s="1"/>
  <c r="BA18" i="28"/>
  <c r="BA24" i="28"/>
  <c r="BA19" i="28" s="1"/>
  <c r="F155" i="12"/>
  <c r="F114" i="12"/>
  <c r="G110" i="12"/>
  <c r="G151" i="12"/>
  <c r="D151" i="12"/>
  <c r="D69" i="12" s="1"/>
  <c r="D110" i="12"/>
  <c r="K149" i="12"/>
  <c r="K108" i="12"/>
  <c r="J151" i="12"/>
  <c r="J110" i="12"/>
  <c r="AG25" i="41"/>
  <c r="AI18" i="3"/>
  <c r="AH21" i="41"/>
  <c r="AH23" i="41" s="1"/>
  <c r="AI13" i="29" s="1"/>
  <c r="AI15" i="29" s="1"/>
  <c r="AJ31" i="3" s="1"/>
  <c r="AJ51" i="3" s="1"/>
  <c r="E111" i="12" l="1"/>
  <c r="E70" i="12" s="1"/>
  <c r="K67" i="12"/>
  <c r="F73" i="12"/>
  <c r="F115" i="12" s="1"/>
  <c r="B65" i="12"/>
  <c r="H70" i="12"/>
  <c r="AQ12" i="3"/>
  <c r="AQ14" i="3" s="1"/>
  <c r="AQ17" i="3" s="1"/>
  <c r="AQ53" i="3"/>
  <c r="G69" i="12"/>
  <c r="I72" i="12"/>
  <c r="L152" i="12"/>
  <c r="L111" i="12"/>
  <c r="M150" i="12"/>
  <c r="M109" i="12"/>
  <c r="AY30" i="1"/>
  <c r="AX11" i="1"/>
  <c r="J69" i="12"/>
  <c r="K150" i="12"/>
  <c r="K109" i="12"/>
  <c r="D152" i="12"/>
  <c r="D111" i="12"/>
  <c r="F156" i="12"/>
  <c r="N65" i="12"/>
  <c r="B148" i="12"/>
  <c r="B107" i="12"/>
  <c r="BB17" i="28"/>
  <c r="BB21" i="28" s="1"/>
  <c r="AQ17" i="1"/>
  <c r="AQ21" i="1" s="1"/>
  <c r="P64" i="12"/>
  <c r="R64" i="12" s="1"/>
  <c r="S64" i="12" s="1"/>
  <c r="N106" i="12"/>
  <c r="N147" i="12"/>
  <c r="C107" i="12"/>
  <c r="C148" i="12"/>
  <c r="H153" i="12"/>
  <c r="H112" i="12"/>
  <c r="AH25" i="41"/>
  <c r="AI21" i="41" s="1"/>
  <c r="AI23" i="41" s="1"/>
  <c r="AJ13" i="29" s="1"/>
  <c r="AJ15" i="29" s="1"/>
  <c r="AK31" i="3" s="1"/>
  <c r="AK51" i="3" s="1"/>
  <c r="AJ18" i="3"/>
  <c r="AJ20" i="3" s="1"/>
  <c r="E112" i="12" l="1"/>
  <c r="E71" i="12" s="1"/>
  <c r="E154" i="12" s="1"/>
  <c r="E153" i="12"/>
  <c r="M68" i="12"/>
  <c r="C66" i="12"/>
  <c r="B66" i="12"/>
  <c r="L70" i="12"/>
  <c r="H71" i="12"/>
  <c r="AQ18" i="1"/>
  <c r="AQ24" i="1"/>
  <c r="AQ19" i="1" s="1"/>
  <c r="AR8" i="3" s="1"/>
  <c r="AR52" i="3" s="1"/>
  <c r="P65" i="12"/>
  <c r="R65" i="12" s="1"/>
  <c r="S65" i="12" s="1"/>
  <c r="AR17" i="1"/>
  <c r="AR21" i="1" s="1"/>
  <c r="N107" i="12"/>
  <c r="N148" i="12"/>
  <c r="F74" i="12"/>
  <c r="D70" i="12"/>
  <c r="K68" i="12"/>
  <c r="I155" i="12"/>
  <c r="I73" i="12" s="1"/>
  <c r="I114" i="12"/>
  <c r="C108" i="12"/>
  <c r="C149" i="12"/>
  <c r="BB24" i="28"/>
  <c r="BB19" i="28" s="1"/>
  <c r="BB18" i="28"/>
  <c r="B108" i="12"/>
  <c r="B149" i="12"/>
  <c r="J152" i="12"/>
  <c r="J111" i="12"/>
  <c r="AZ30" i="1"/>
  <c r="AZ11" i="1" s="1"/>
  <c r="AY11" i="1"/>
  <c r="M110" i="12"/>
  <c r="M151" i="12"/>
  <c r="L112" i="12"/>
  <c r="L153" i="12"/>
  <c r="G111" i="12"/>
  <c r="G152" i="12"/>
  <c r="AJ21" i="3"/>
  <c r="AJ22" i="3" s="1"/>
  <c r="AJ33" i="3" s="1"/>
  <c r="AI25" i="41"/>
  <c r="AJ21" i="41" s="1"/>
  <c r="AJ23" i="41" s="1"/>
  <c r="AK13" i="29" s="1"/>
  <c r="AK15" i="29" s="1"/>
  <c r="AL31" i="3" s="1"/>
  <c r="AL51" i="3" s="1"/>
  <c r="AK18" i="3"/>
  <c r="AK20" i="3" s="1"/>
  <c r="G70" i="12" l="1"/>
  <c r="M69" i="12"/>
  <c r="B67" i="12"/>
  <c r="N66" i="12"/>
  <c r="AS17" i="1" s="1"/>
  <c r="AS21" i="1" s="1"/>
  <c r="L71" i="12"/>
  <c r="E113" i="12"/>
  <c r="AR53" i="3"/>
  <c r="AR12" i="3"/>
  <c r="AR14" i="3" s="1"/>
  <c r="AR17" i="3" s="1"/>
  <c r="J70" i="12"/>
  <c r="E72" i="12"/>
  <c r="C67" i="12"/>
  <c r="K151" i="12"/>
  <c r="K110" i="12"/>
  <c r="F157" i="12"/>
  <c r="F116" i="12"/>
  <c r="G112" i="12"/>
  <c r="G153" i="12"/>
  <c r="L113" i="12"/>
  <c r="L154" i="12"/>
  <c r="M111" i="12"/>
  <c r="M152" i="12"/>
  <c r="N67" i="12"/>
  <c r="B150" i="12"/>
  <c r="B109" i="12"/>
  <c r="N108" i="12"/>
  <c r="I156" i="12"/>
  <c r="I115" i="12"/>
  <c r="D153" i="12"/>
  <c r="D112" i="12"/>
  <c r="AR18" i="1"/>
  <c r="AR24" i="1"/>
  <c r="AR19" i="1" s="1"/>
  <c r="AS8" i="3" s="1"/>
  <c r="AS52" i="3" s="1"/>
  <c r="H154" i="12"/>
  <c r="H113" i="12"/>
  <c r="AJ25" i="41"/>
  <c r="AK21" i="41" s="1"/>
  <c r="AK23" i="41" s="1"/>
  <c r="AL13" i="29" s="1"/>
  <c r="AL15" i="29" s="1"/>
  <c r="AM31" i="3" s="1"/>
  <c r="AM51" i="3" s="1"/>
  <c r="AL18" i="3"/>
  <c r="AL20" i="3" s="1"/>
  <c r="AK21" i="3"/>
  <c r="AK22" i="3" s="1"/>
  <c r="AK33" i="3" s="1"/>
  <c r="N149" i="12" l="1"/>
  <c r="P66" i="12"/>
  <c r="R66" i="12" s="1"/>
  <c r="S66" i="12" s="1"/>
  <c r="D71" i="12"/>
  <c r="B68" i="12"/>
  <c r="L72" i="12"/>
  <c r="L114" i="12" s="1"/>
  <c r="I74" i="12"/>
  <c r="I157" i="12" s="1"/>
  <c r="M70" i="12"/>
  <c r="G71" i="12"/>
  <c r="G154" i="12" s="1"/>
  <c r="AS53" i="3"/>
  <c r="AS12" i="3"/>
  <c r="AS14" i="3" s="1"/>
  <c r="AS17" i="3" s="1"/>
  <c r="P67" i="12"/>
  <c r="R67" i="12" s="1"/>
  <c r="S67" i="12" s="1"/>
  <c r="AT17" i="1"/>
  <c r="AT21" i="1" s="1"/>
  <c r="N109" i="12"/>
  <c r="N150" i="12"/>
  <c r="F75" i="12"/>
  <c r="K69" i="12"/>
  <c r="E114" i="12"/>
  <c r="E155" i="12"/>
  <c r="H72" i="12"/>
  <c r="D113" i="12"/>
  <c r="D154" i="12"/>
  <c r="I116" i="12"/>
  <c r="AS24" i="1"/>
  <c r="AS19" i="1" s="1"/>
  <c r="AT8" i="3" s="1"/>
  <c r="AT52" i="3" s="1"/>
  <c r="AS18" i="1"/>
  <c r="B110" i="12"/>
  <c r="B151" i="12"/>
  <c r="M112" i="12"/>
  <c r="M153" i="12"/>
  <c r="L155" i="12"/>
  <c r="G113" i="12"/>
  <c r="C109" i="12"/>
  <c r="C150" i="12"/>
  <c r="J153" i="12"/>
  <c r="J112" i="12"/>
  <c r="AK25" i="41"/>
  <c r="AL21" i="41" s="1"/>
  <c r="AL23" i="41" s="1"/>
  <c r="AM13" i="29" s="1"/>
  <c r="AM15" i="29" s="1"/>
  <c r="AN31" i="3" s="1"/>
  <c r="AN51" i="3" s="1"/>
  <c r="AM18" i="3"/>
  <c r="AM20" i="3" s="1"/>
  <c r="AL21" i="3"/>
  <c r="AL22" i="3" s="1"/>
  <c r="AL33" i="3" s="1"/>
  <c r="I75" i="12" l="1"/>
  <c r="D72" i="12"/>
  <c r="J71" i="12"/>
  <c r="L73" i="12"/>
  <c r="L156" i="12" s="1"/>
  <c r="AT53" i="3"/>
  <c r="AT12" i="3"/>
  <c r="AT14" i="3" s="1"/>
  <c r="AT17" i="3" s="1"/>
  <c r="J154" i="12"/>
  <c r="J113" i="12"/>
  <c r="C68" i="12"/>
  <c r="G72" i="12"/>
  <c r="M71" i="12"/>
  <c r="B69" i="12"/>
  <c r="E73" i="12"/>
  <c r="K152" i="12"/>
  <c r="K111" i="12"/>
  <c r="AT18" i="1"/>
  <c r="AT24" i="1"/>
  <c r="AT19" i="1" s="1"/>
  <c r="AU8" i="3" s="1"/>
  <c r="AU52" i="3" s="1"/>
  <c r="D114" i="12"/>
  <c r="D155" i="12"/>
  <c r="H155" i="12"/>
  <c r="H114" i="12"/>
  <c r="AL25" i="41"/>
  <c r="AM21" i="41" s="1"/>
  <c r="AM23" i="41" s="1"/>
  <c r="AN13" i="29" s="1"/>
  <c r="AN15" i="29" s="1"/>
  <c r="AO31" i="3" s="1"/>
  <c r="AO51" i="3" s="1"/>
  <c r="AN18" i="3"/>
  <c r="AN20" i="3" s="1"/>
  <c r="AM21" i="3"/>
  <c r="AM22" i="3" s="1"/>
  <c r="AM33" i="3" s="1"/>
  <c r="L115" i="12" l="1"/>
  <c r="L74" i="12" s="1"/>
  <c r="D73" i="12"/>
  <c r="J72" i="12"/>
  <c r="AU53" i="3"/>
  <c r="AU12" i="3"/>
  <c r="AU14" i="3" s="1"/>
  <c r="AU17" i="3" s="1"/>
  <c r="H73" i="12"/>
  <c r="K70" i="12"/>
  <c r="B111" i="12"/>
  <c r="B152" i="12"/>
  <c r="G155" i="12"/>
  <c r="G114" i="12"/>
  <c r="D115" i="12"/>
  <c r="D156" i="12"/>
  <c r="E115" i="12"/>
  <c r="E156" i="12"/>
  <c r="M113" i="12"/>
  <c r="M154" i="12"/>
  <c r="C110" i="12"/>
  <c r="C151" i="12"/>
  <c r="N68" i="12"/>
  <c r="J114" i="12"/>
  <c r="J155" i="12"/>
  <c r="AM25" i="41"/>
  <c r="AN21" i="41" s="1"/>
  <c r="AN23" i="41" s="1"/>
  <c r="AO13" i="29" s="1"/>
  <c r="AO15" i="29" s="1"/>
  <c r="AP31" i="3" s="1"/>
  <c r="AP51" i="3" s="1"/>
  <c r="AO18" i="3"/>
  <c r="AO20" i="3" s="1"/>
  <c r="AN21" i="3"/>
  <c r="AN22" i="3" s="1"/>
  <c r="AN33" i="3" s="1"/>
  <c r="J73" i="12" l="1"/>
  <c r="G73" i="12"/>
  <c r="G156" i="12" s="1"/>
  <c r="C69" i="12"/>
  <c r="M72" i="12"/>
  <c r="E74" i="12"/>
  <c r="D74" i="12"/>
  <c r="B70" i="12"/>
  <c r="L116" i="12"/>
  <c r="L157" i="12"/>
  <c r="J156" i="12"/>
  <c r="J115" i="12"/>
  <c r="AU17" i="1"/>
  <c r="AU21" i="1" s="1"/>
  <c r="P68" i="12"/>
  <c r="R68" i="12" s="1"/>
  <c r="S68" i="12" s="1"/>
  <c r="N110" i="12"/>
  <c r="N151" i="12"/>
  <c r="G115" i="12"/>
  <c r="K153" i="12"/>
  <c r="K112" i="12"/>
  <c r="H156" i="12"/>
  <c r="H115" i="12"/>
  <c r="AO21" i="3"/>
  <c r="AO22" i="3" s="1"/>
  <c r="AO33" i="3" s="1"/>
  <c r="AN25" i="41"/>
  <c r="AO21" i="41" s="1"/>
  <c r="AO23" i="41" s="1"/>
  <c r="AP13" i="29" s="1"/>
  <c r="AP15" i="29" s="1"/>
  <c r="AQ31" i="3" s="1"/>
  <c r="AQ51" i="3" s="1"/>
  <c r="AP18" i="3"/>
  <c r="AP20" i="3" s="1"/>
  <c r="G74" i="12" l="1"/>
  <c r="L75" i="12"/>
  <c r="H74" i="12"/>
  <c r="K71" i="12"/>
  <c r="AU18" i="1"/>
  <c r="AU24" i="1"/>
  <c r="AU19" i="1" s="1"/>
  <c r="AV8" i="3" s="1"/>
  <c r="AV52" i="3" s="1"/>
  <c r="J74" i="12"/>
  <c r="D157" i="12"/>
  <c r="D116" i="12"/>
  <c r="M114" i="12"/>
  <c r="M155" i="12"/>
  <c r="G157" i="12"/>
  <c r="G116" i="12"/>
  <c r="B153" i="12"/>
  <c r="B112" i="12"/>
  <c r="E116" i="12"/>
  <c r="E157" i="12"/>
  <c r="C152" i="12"/>
  <c r="C111" i="12"/>
  <c r="N69" i="12"/>
  <c r="AO25" i="41"/>
  <c r="AP21" i="41" s="1"/>
  <c r="AP23" i="41" s="1"/>
  <c r="AQ13" i="29" s="1"/>
  <c r="AQ15" i="29" s="1"/>
  <c r="AR31" i="3" s="1"/>
  <c r="AR51" i="3" s="1"/>
  <c r="AQ18" i="3"/>
  <c r="AQ20" i="3" s="1"/>
  <c r="AP21" i="3"/>
  <c r="AP22" i="3" s="1"/>
  <c r="AP33" i="3" s="1"/>
  <c r="M73" i="12" l="1"/>
  <c r="C70" i="12"/>
  <c r="B71" i="12"/>
  <c r="AV12" i="3"/>
  <c r="AV14" i="3" s="1"/>
  <c r="AV17" i="3" s="1"/>
  <c r="AV53" i="3"/>
  <c r="C153" i="12"/>
  <c r="C112" i="12"/>
  <c r="E75" i="12"/>
  <c r="N70" i="12"/>
  <c r="G75" i="12"/>
  <c r="D75" i="12"/>
  <c r="K154" i="12"/>
  <c r="K113" i="12"/>
  <c r="P69" i="12"/>
  <c r="R69" i="12" s="1"/>
  <c r="S69" i="12" s="1"/>
  <c r="AV17" i="1"/>
  <c r="AV21" i="1" s="1"/>
  <c r="N152" i="12"/>
  <c r="N111" i="12"/>
  <c r="B113" i="12"/>
  <c r="B154" i="12"/>
  <c r="M115" i="12"/>
  <c r="M156" i="12"/>
  <c r="J157" i="12"/>
  <c r="J116" i="12"/>
  <c r="H157" i="12"/>
  <c r="H116" i="12"/>
  <c r="AP25" i="41"/>
  <c r="AQ21" i="41" s="1"/>
  <c r="AQ23" i="41" s="1"/>
  <c r="AR13" i="29" s="1"/>
  <c r="AR15" i="29" s="1"/>
  <c r="AS31" i="3" s="1"/>
  <c r="AS51" i="3" s="1"/>
  <c r="AR18" i="3"/>
  <c r="AR20" i="3" s="1"/>
  <c r="AQ21" i="3"/>
  <c r="AQ22" i="3" s="1"/>
  <c r="AQ33" i="3" s="1"/>
  <c r="B72" i="12" l="1"/>
  <c r="K72" i="12"/>
  <c r="C71" i="12"/>
  <c r="N71" i="12" s="1"/>
  <c r="N113" i="12" s="1"/>
  <c r="H75" i="12"/>
  <c r="J75" i="12"/>
  <c r="AV18" i="1"/>
  <c r="AV24" i="1"/>
  <c r="AV19" i="1" s="1"/>
  <c r="AW17" i="1"/>
  <c r="AW21" i="1" s="1"/>
  <c r="P70" i="12"/>
  <c r="R70" i="12" s="1"/>
  <c r="S70" i="12" s="1"/>
  <c r="N112" i="12"/>
  <c r="N153" i="12"/>
  <c r="M74" i="12"/>
  <c r="B155" i="12"/>
  <c r="B114" i="12"/>
  <c r="P71" i="12"/>
  <c r="R71" i="12" s="1"/>
  <c r="S71" i="12" s="1"/>
  <c r="K114" i="12"/>
  <c r="K155" i="12"/>
  <c r="AQ25" i="41"/>
  <c r="AR21" i="41" s="1"/>
  <c r="AR23" i="41" s="1"/>
  <c r="AS13" i="29" s="1"/>
  <c r="AS15" i="29" s="1"/>
  <c r="AT31" i="3" s="1"/>
  <c r="AT51" i="3" s="1"/>
  <c r="AS18" i="3"/>
  <c r="AS20" i="3" s="1"/>
  <c r="AR21" i="3"/>
  <c r="AR22" i="3" s="1"/>
  <c r="AR33" i="3" s="1"/>
  <c r="N154" i="12" l="1"/>
  <c r="AX17" i="1"/>
  <c r="AX21" i="1" s="1"/>
  <c r="C154" i="12"/>
  <c r="C113" i="12"/>
  <c r="C72" i="12" s="1"/>
  <c r="B73" i="12"/>
  <c r="K73" i="12"/>
  <c r="AX18" i="1"/>
  <c r="AX24" i="1"/>
  <c r="AX19" i="1" s="1"/>
  <c r="B115" i="12"/>
  <c r="B156" i="12"/>
  <c r="M116" i="12"/>
  <c r="M157" i="12"/>
  <c r="AW24" i="1"/>
  <c r="AW19" i="1" s="1"/>
  <c r="AW18" i="1"/>
  <c r="AR25" i="41"/>
  <c r="AS21" i="41" s="1"/>
  <c r="AS23" i="41" s="1"/>
  <c r="AT13" i="29" s="1"/>
  <c r="AT15" i="29" s="1"/>
  <c r="AU31" i="3" s="1"/>
  <c r="AU51" i="3" s="1"/>
  <c r="AT18" i="3"/>
  <c r="AT20" i="3" s="1"/>
  <c r="AS21" i="3"/>
  <c r="AS22" i="3" s="1"/>
  <c r="AS33" i="3" s="1"/>
  <c r="B74" i="12" l="1"/>
  <c r="M75" i="12"/>
  <c r="K115" i="12"/>
  <c r="K156" i="12"/>
  <c r="B116" i="12"/>
  <c r="B157" i="12"/>
  <c r="C155" i="12"/>
  <c r="C114" i="12"/>
  <c r="N72" i="12"/>
  <c r="AS25" i="41"/>
  <c r="AT21" i="41" s="1"/>
  <c r="AT23" i="41" s="1"/>
  <c r="AU13" i="29" s="1"/>
  <c r="AU15" i="29" s="1"/>
  <c r="AV31" i="3" s="1"/>
  <c r="AV51" i="3" s="1"/>
  <c r="AU18" i="3"/>
  <c r="AU20" i="3" s="1"/>
  <c r="AT21" i="3"/>
  <c r="AT22" i="3" s="1"/>
  <c r="AT33" i="3" s="1"/>
  <c r="B75" i="12" l="1"/>
  <c r="AY17" i="1"/>
  <c r="AY21" i="1" s="1"/>
  <c r="P72" i="12"/>
  <c r="R72" i="12" s="1"/>
  <c r="S72" i="12" s="1"/>
  <c r="N114" i="12"/>
  <c r="N155" i="12"/>
  <c r="C73" i="12"/>
  <c r="K74" i="12"/>
  <c r="AU21" i="3"/>
  <c r="AU22" i="3" s="1"/>
  <c r="AU33" i="3" s="1"/>
  <c r="AT25" i="41"/>
  <c r="AV18" i="3"/>
  <c r="AV20" i="3" s="1"/>
  <c r="C156" i="12" l="1"/>
  <c r="C115" i="12"/>
  <c r="N73" i="12"/>
  <c r="AY18" i="1"/>
  <c r="AY24" i="1"/>
  <c r="AY19" i="1" s="1"/>
  <c r="K157" i="12"/>
  <c r="K116" i="12"/>
  <c r="AV21" i="3"/>
  <c r="AV22" i="3" s="1"/>
  <c r="AV33" i="3" s="1"/>
  <c r="B6" i="6"/>
  <c r="B23" i="6" s="1"/>
  <c r="C18" i="6"/>
  <c r="D18" i="6" s="1"/>
  <c r="C12" i="1"/>
  <c r="C15" i="1" s="1"/>
  <c r="B21" i="6" l="1"/>
  <c r="B22" i="6" s="1"/>
  <c r="B25" i="6" s="1"/>
  <c r="C74" i="12"/>
  <c r="K75" i="12"/>
  <c r="P73" i="12"/>
  <c r="R73" i="12" s="1"/>
  <c r="S73" i="12" s="1"/>
  <c r="AZ17" i="1"/>
  <c r="AZ21" i="1" s="1"/>
  <c r="N115" i="12"/>
  <c r="N156" i="12"/>
  <c r="C116" i="12"/>
  <c r="C157" i="12"/>
  <c r="N74" i="12"/>
  <c r="B6" i="45"/>
  <c r="C12" i="28" s="1"/>
  <c r="C15" i="28" s="1"/>
  <c r="D22" i="6"/>
  <c r="E18" i="6"/>
  <c r="C22" i="6"/>
  <c r="C75" i="12" l="1"/>
  <c r="N75" i="12" s="1"/>
  <c r="P75" i="12" s="1"/>
  <c r="R75" i="12" s="1"/>
  <c r="S75" i="12" s="1"/>
  <c r="C19" i="6"/>
  <c r="C24" i="6" s="1"/>
  <c r="P74" i="12"/>
  <c r="R74" i="12" s="1"/>
  <c r="S74" i="12" s="1"/>
  <c r="N116" i="12"/>
  <c r="N157" i="12"/>
  <c r="AZ18" i="1"/>
  <c r="AZ24" i="1"/>
  <c r="AZ19" i="1" s="1"/>
  <c r="C20" i="6"/>
  <c r="E22" i="6"/>
  <c r="F18" i="6"/>
  <c r="B33" i="6"/>
  <c r="C25" i="6"/>
  <c r="C33" i="6" s="1"/>
  <c r="B6" i="41"/>
  <c r="C12" i="29" s="1"/>
  <c r="C15" i="29" s="1"/>
  <c r="D31" i="3" s="1"/>
  <c r="D51" i="3" s="1"/>
  <c r="B27" i="45"/>
  <c r="C18" i="45"/>
  <c r="B24" i="45"/>
  <c r="D33" i="3" l="1"/>
  <c r="D53" i="3"/>
  <c r="C26" i="45"/>
  <c r="D18" i="45"/>
  <c r="B27" i="41"/>
  <c r="B24" i="41"/>
  <c r="C18" i="41"/>
  <c r="F22" i="6"/>
  <c r="G18" i="6"/>
  <c r="B26" i="45"/>
  <c r="B29" i="45" s="1"/>
  <c r="C20" i="45"/>
  <c r="C28" i="45" s="1"/>
  <c r="D13" i="1"/>
  <c r="D15" i="1" s="1"/>
  <c r="C21" i="6"/>
  <c r="C29" i="45" l="1"/>
  <c r="C37" i="45" s="1"/>
  <c r="D19" i="6"/>
  <c r="B37" i="45"/>
  <c r="C26" i="41"/>
  <c r="D18" i="41"/>
  <c r="G22" i="6"/>
  <c r="H18" i="6"/>
  <c r="C20" i="41"/>
  <c r="B26" i="41"/>
  <c r="B29" i="41" s="1"/>
  <c r="D26" i="45"/>
  <c r="E18" i="45"/>
  <c r="C22" i="45"/>
  <c r="B37" i="41" l="1"/>
  <c r="H22" i="6"/>
  <c r="I18" i="6"/>
  <c r="D13" i="28"/>
  <c r="D15" i="28" s="1"/>
  <c r="C24" i="45"/>
  <c r="C28" i="41"/>
  <c r="E18" i="3"/>
  <c r="C29" i="41"/>
  <c r="C37" i="41" s="1"/>
  <c r="E26" i="45"/>
  <c r="F18" i="45"/>
  <c r="D26" i="41"/>
  <c r="E18" i="41"/>
  <c r="C22" i="41"/>
  <c r="D24" i="6"/>
  <c r="D25" i="6" s="1"/>
  <c r="D20" i="6"/>
  <c r="D21" i="6" l="1"/>
  <c r="E19" i="6" s="1"/>
  <c r="E13" i="1"/>
  <c r="E15" i="1" s="1"/>
  <c r="D33" i="6"/>
  <c r="D13" i="29"/>
  <c r="D15" i="29" s="1"/>
  <c r="E31" i="3" s="1"/>
  <c r="E51" i="3" s="1"/>
  <c r="E53" i="3" s="1"/>
  <c r="C24" i="41"/>
  <c r="F26" i="45"/>
  <c r="G18" i="45"/>
  <c r="E26" i="41"/>
  <c r="F18" i="41"/>
  <c r="D20" i="45"/>
  <c r="I22" i="6"/>
  <c r="J18" i="6"/>
  <c r="J22" i="6" l="1"/>
  <c r="K18" i="6"/>
  <c r="D28" i="45"/>
  <c r="D29" i="45" s="1"/>
  <c r="D22" i="45"/>
  <c r="F26" i="41"/>
  <c r="G18" i="41"/>
  <c r="G26" i="45"/>
  <c r="H18" i="45"/>
  <c r="D20" i="41"/>
  <c r="E24" i="6"/>
  <c r="E25" i="6" s="1"/>
  <c r="E20" i="6"/>
  <c r="E21" i="6" l="1"/>
  <c r="F19" i="6" s="1"/>
  <c r="F13" i="1"/>
  <c r="F15" i="1" s="1"/>
  <c r="G26" i="41"/>
  <c r="H18" i="41"/>
  <c r="E13" i="28"/>
  <c r="E15" i="28" s="1"/>
  <c r="D24" i="45"/>
  <c r="K22" i="6"/>
  <c r="L18" i="6"/>
  <c r="E33" i="6"/>
  <c r="D28" i="41"/>
  <c r="D29" i="41" s="1"/>
  <c r="F18" i="3"/>
  <c r="D22" i="41"/>
  <c r="H26" i="45"/>
  <c r="I18" i="45"/>
  <c r="D37" i="45"/>
  <c r="H26" i="41" l="1"/>
  <c r="I18" i="41"/>
  <c r="E13" i="29"/>
  <c r="E15" i="29" s="1"/>
  <c r="F31" i="3" s="1"/>
  <c r="F51" i="3" s="1"/>
  <c r="F53" i="3" s="1"/>
  <c r="D24" i="41"/>
  <c r="D37" i="41"/>
  <c r="E20" i="45"/>
  <c r="I26" i="45"/>
  <c r="J18" i="45"/>
  <c r="L22" i="6"/>
  <c r="M18" i="6"/>
  <c r="F24" i="6"/>
  <c r="F25" i="6" s="1"/>
  <c r="F20" i="6"/>
  <c r="F21" i="6" l="1"/>
  <c r="G19" i="6" s="1"/>
  <c r="G13" i="1"/>
  <c r="G15" i="1" s="1"/>
  <c r="F33" i="6"/>
  <c r="J26" i="45"/>
  <c r="K18" i="45"/>
  <c r="M22" i="6"/>
  <c r="N18" i="6"/>
  <c r="E28" i="45"/>
  <c r="E29" i="45" s="1"/>
  <c r="E22" i="45"/>
  <c r="E20" i="41"/>
  <c r="I26" i="41"/>
  <c r="J18" i="41"/>
  <c r="K26" i="45" l="1"/>
  <c r="L18" i="45"/>
  <c r="F13" i="28"/>
  <c r="F15" i="28" s="1"/>
  <c r="E24" i="45"/>
  <c r="N22" i="6"/>
  <c r="O18" i="6"/>
  <c r="G24" i="6"/>
  <c r="G25" i="6" s="1"/>
  <c r="G20" i="6"/>
  <c r="J26" i="41"/>
  <c r="K18" i="41"/>
  <c r="G18" i="3"/>
  <c r="E28" i="41"/>
  <c r="E29" i="41" s="1"/>
  <c r="E22" i="41"/>
  <c r="E37" i="45"/>
  <c r="G21" i="6" l="1"/>
  <c r="H19" i="6" s="1"/>
  <c r="H13" i="1"/>
  <c r="H15" i="1" s="1"/>
  <c r="F13" i="29"/>
  <c r="F15" i="29" s="1"/>
  <c r="G31" i="3" s="1"/>
  <c r="G51" i="3" s="1"/>
  <c r="E24" i="41"/>
  <c r="E37" i="41"/>
  <c r="K26" i="41"/>
  <c r="L18" i="41"/>
  <c r="G33" i="6"/>
  <c r="F20" i="45"/>
  <c r="L26" i="45"/>
  <c r="M18" i="45"/>
  <c r="O22" i="6"/>
  <c r="P18" i="6"/>
  <c r="P22" i="6" l="1"/>
  <c r="Q18" i="6"/>
  <c r="M26" i="45"/>
  <c r="N18" i="45"/>
  <c r="F28" i="45"/>
  <c r="F29" i="45" s="1"/>
  <c r="F22" i="45"/>
  <c r="L26" i="41"/>
  <c r="M18" i="41"/>
  <c r="H24" i="6"/>
  <c r="H25" i="6" s="1"/>
  <c r="H33" i="6" s="1"/>
  <c r="H20" i="6"/>
  <c r="F20" i="41"/>
  <c r="H21" i="6" l="1"/>
  <c r="I13" i="1"/>
  <c r="I15" i="1" s="1"/>
  <c r="F28" i="41"/>
  <c r="F29" i="41" s="1"/>
  <c r="H18" i="3"/>
  <c r="F22" i="41"/>
  <c r="M26" i="41"/>
  <c r="N18" i="41"/>
  <c r="F37" i="45"/>
  <c r="I19" i="6"/>
  <c r="G13" i="28"/>
  <c r="G15" i="28" s="1"/>
  <c r="F24" i="45"/>
  <c r="N26" i="45"/>
  <c r="O18" i="45"/>
  <c r="Q22" i="6"/>
  <c r="R18" i="6"/>
  <c r="R22" i="6" l="1"/>
  <c r="S18" i="6"/>
  <c r="G13" i="29"/>
  <c r="G15" i="29" s="1"/>
  <c r="H31" i="3" s="1"/>
  <c r="H51" i="3" s="1"/>
  <c r="F24" i="41"/>
  <c r="G20" i="45"/>
  <c r="I24" i="6"/>
  <c r="I25" i="6" s="1"/>
  <c r="I33" i="6" s="1"/>
  <c r="I20" i="6"/>
  <c r="N26" i="41"/>
  <c r="O18" i="41"/>
  <c r="O26" i="45"/>
  <c r="P18" i="45"/>
  <c r="F37" i="41"/>
  <c r="I21" i="6" l="1"/>
  <c r="J19" i="6" s="1"/>
  <c r="J13" i="1"/>
  <c r="J15" i="1" s="1"/>
  <c r="P26" i="45"/>
  <c r="Q18" i="45"/>
  <c r="O26" i="41"/>
  <c r="P18" i="41"/>
  <c r="G28" i="45"/>
  <c r="G29" i="45" s="1"/>
  <c r="G22" i="45"/>
  <c r="G20" i="41"/>
  <c r="S22" i="6"/>
  <c r="T18" i="6"/>
  <c r="U18" i="6" l="1"/>
  <c r="T22" i="6"/>
  <c r="G28" i="41"/>
  <c r="G29" i="41" s="1"/>
  <c r="G37" i="41" s="1"/>
  <c r="I18" i="3"/>
  <c r="G22" i="41"/>
  <c r="J24" i="6"/>
  <c r="J25" i="6" s="1"/>
  <c r="J33" i="6" s="1"/>
  <c r="J20" i="6"/>
  <c r="G37" i="45"/>
  <c r="P26" i="41"/>
  <c r="Q18" i="41"/>
  <c r="Q26" i="45"/>
  <c r="R18" i="45"/>
  <c r="H13" i="28"/>
  <c r="H15" i="28" s="1"/>
  <c r="G24" i="45"/>
  <c r="J21" i="6" l="1"/>
  <c r="K19" i="6" s="1"/>
  <c r="K13" i="1"/>
  <c r="K15" i="1" s="1"/>
  <c r="H20" i="45"/>
  <c r="R26" i="45"/>
  <c r="S18" i="45"/>
  <c r="Q26" i="41"/>
  <c r="R18" i="41"/>
  <c r="H13" i="29"/>
  <c r="H15" i="29" s="1"/>
  <c r="I31" i="3" s="1"/>
  <c r="I51" i="3" s="1"/>
  <c r="G24" i="41"/>
  <c r="U22" i="6"/>
  <c r="V18" i="6"/>
  <c r="R26" i="41" l="1"/>
  <c r="S18" i="41"/>
  <c r="S26" i="45"/>
  <c r="T18" i="45"/>
  <c r="H28" i="45"/>
  <c r="H29" i="45" s="1"/>
  <c r="H37" i="45" s="1"/>
  <c r="H22" i="45"/>
  <c r="H20" i="41"/>
  <c r="K24" i="6"/>
  <c r="K25" i="6" s="1"/>
  <c r="K33" i="6" s="1"/>
  <c r="K20" i="6"/>
  <c r="V22" i="6"/>
  <c r="W18" i="6"/>
  <c r="K21" i="6" l="1"/>
  <c r="L19" i="6" s="1"/>
  <c r="L13" i="1"/>
  <c r="L15" i="1" s="1"/>
  <c r="W22" i="6"/>
  <c r="X18" i="6"/>
  <c r="I13" i="28"/>
  <c r="I15" i="28" s="1"/>
  <c r="H24" i="45"/>
  <c r="T26" i="45"/>
  <c r="U18" i="45"/>
  <c r="J18" i="3"/>
  <c r="H28" i="41"/>
  <c r="H29" i="41" s="1"/>
  <c r="H37" i="41" s="1"/>
  <c r="H22" i="41"/>
  <c r="T18" i="41"/>
  <c r="S26" i="41"/>
  <c r="X22" i="6" l="1"/>
  <c r="Y18" i="6"/>
  <c r="T26" i="41"/>
  <c r="U18" i="41"/>
  <c r="U26" i="45"/>
  <c r="V18" i="45"/>
  <c r="L24" i="6"/>
  <c r="L25" i="6" s="1"/>
  <c r="L33" i="6" s="1"/>
  <c r="L20" i="6"/>
  <c r="I13" i="29"/>
  <c r="I15" i="29" s="1"/>
  <c r="J31" i="3" s="1"/>
  <c r="J51" i="3" s="1"/>
  <c r="H24" i="41"/>
  <c r="I20" i="45"/>
  <c r="L21" i="6" l="1"/>
  <c r="M19" i="6" s="1"/>
  <c r="M13" i="1"/>
  <c r="M15" i="1" s="1"/>
  <c r="I20" i="41"/>
  <c r="V26" i="45"/>
  <c r="W18" i="45"/>
  <c r="Y22" i="6"/>
  <c r="Z18" i="6"/>
  <c r="I28" i="45"/>
  <c r="I29" i="45" s="1"/>
  <c r="I37" i="45" s="1"/>
  <c r="I22" i="45"/>
  <c r="U26" i="41"/>
  <c r="V18" i="41"/>
  <c r="W18" i="41" l="1"/>
  <c r="V26" i="41"/>
  <c r="J13" i="28"/>
  <c r="J15" i="28" s="1"/>
  <c r="I24" i="45"/>
  <c r="Z22" i="6"/>
  <c r="AA18" i="6"/>
  <c r="K18" i="3"/>
  <c r="I28" i="41"/>
  <c r="I29" i="41" s="1"/>
  <c r="I37" i="41" s="1"/>
  <c r="I22" i="41"/>
  <c r="M24" i="6"/>
  <c r="M25" i="6" s="1"/>
  <c r="M33" i="6" s="1"/>
  <c r="M20" i="6"/>
  <c r="W26" i="45"/>
  <c r="X18" i="45"/>
  <c r="M21" i="6" l="1"/>
  <c r="N19" i="6" s="1"/>
  <c r="N13" i="1"/>
  <c r="N15" i="1" s="1"/>
  <c r="X26" i="45"/>
  <c r="Y18" i="45"/>
  <c r="J20" i="45"/>
  <c r="J13" i="29"/>
  <c r="J15" i="29" s="1"/>
  <c r="K31" i="3" s="1"/>
  <c r="K51" i="3" s="1"/>
  <c r="I24" i="41"/>
  <c r="AA22" i="6"/>
  <c r="AB18" i="6"/>
  <c r="W26" i="41"/>
  <c r="X18" i="41"/>
  <c r="AB22" i="6" l="1"/>
  <c r="AC18" i="6"/>
  <c r="J28" i="45"/>
  <c r="J29" i="45" s="1"/>
  <c r="J37" i="45" s="1"/>
  <c r="J22" i="45"/>
  <c r="Y26" i="45"/>
  <c r="Z18" i="45"/>
  <c r="X26" i="41"/>
  <c r="Y18" i="41"/>
  <c r="J20" i="41"/>
  <c r="N24" i="6"/>
  <c r="N25" i="6" s="1"/>
  <c r="N33" i="6" s="1"/>
  <c r="N20" i="6"/>
  <c r="N21" i="6" l="1"/>
  <c r="O19" i="6" s="1"/>
  <c r="O13" i="1"/>
  <c r="O15" i="1" s="1"/>
  <c r="J28" i="41"/>
  <c r="J29" i="41" s="1"/>
  <c r="J37" i="41" s="1"/>
  <c r="L18" i="3"/>
  <c r="J22" i="41"/>
  <c r="Z26" i="45"/>
  <c r="AA18" i="45"/>
  <c r="K13" i="28"/>
  <c r="K15" i="28" s="1"/>
  <c r="J24" i="45"/>
  <c r="AC22" i="6"/>
  <c r="AD18" i="6"/>
  <c r="Y26" i="41"/>
  <c r="Z18" i="41"/>
  <c r="AA18" i="41" l="1"/>
  <c r="Z26" i="41"/>
  <c r="K20" i="45"/>
  <c r="O24" i="6"/>
  <c r="O25" i="6" s="1"/>
  <c r="O33" i="6" s="1"/>
  <c r="O20" i="6"/>
  <c r="AA26" i="45"/>
  <c r="AB18" i="45"/>
  <c r="K13" i="29"/>
  <c r="K15" i="29" s="1"/>
  <c r="L31" i="3" s="1"/>
  <c r="L51" i="3" s="1"/>
  <c r="J24" i="41"/>
  <c r="AD22" i="6"/>
  <c r="AE18" i="6"/>
  <c r="O21" i="6" l="1"/>
  <c r="P19" i="6" s="1"/>
  <c r="P13" i="1"/>
  <c r="P15" i="1" s="1"/>
  <c r="K20" i="41"/>
  <c r="AE22" i="6"/>
  <c r="AF18" i="6"/>
  <c r="AB26" i="45"/>
  <c r="AC18" i="45"/>
  <c r="K28" i="45"/>
  <c r="K29" i="45" s="1"/>
  <c r="K37" i="45" s="1"/>
  <c r="K22" i="45"/>
  <c r="AA26" i="41"/>
  <c r="AB18" i="41"/>
  <c r="L13" i="28" l="1"/>
  <c r="L15" i="28" s="1"/>
  <c r="K24" i="45"/>
  <c r="AF22" i="6"/>
  <c r="AB26" i="41"/>
  <c r="AC18" i="41"/>
  <c r="AC26" i="45"/>
  <c r="AD18" i="45"/>
  <c r="P24" i="6"/>
  <c r="P25" i="6" s="1"/>
  <c r="P33" i="6" s="1"/>
  <c r="P20" i="6"/>
  <c r="M18" i="3"/>
  <c r="K28" i="41"/>
  <c r="K29" i="41" s="1"/>
  <c r="K37" i="41" s="1"/>
  <c r="K22" i="41"/>
  <c r="P21" i="6" l="1"/>
  <c r="Q19" i="6" s="1"/>
  <c r="Q13" i="1"/>
  <c r="Q15" i="1" s="1"/>
  <c r="L13" i="29"/>
  <c r="L15" i="29" s="1"/>
  <c r="M31" i="3" s="1"/>
  <c r="M51" i="3" s="1"/>
  <c r="K24" i="41"/>
  <c r="AD26" i="45"/>
  <c r="AE18" i="45"/>
  <c r="AC26" i="41"/>
  <c r="AD18" i="41"/>
  <c r="L20" i="45"/>
  <c r="L28" i="45" l="1"/>
  <c r="L29" i="45" s="1"/>
  <c r="L37" i="45" s="1"/>
  <c r="L22" i="45"/>
  <c r="AD26" i="41"/>
  <c r="AE18" i="41"/>
  <c r="L20" i="41"/>
  <c r="Q24" i="6"/>
  <c r="Q25" i="6" s="1"/>
  <c r="Q33" i="6" s="1"/>
  <c r="Q20" i="6"/>
  <c r="AE26" i="45"/>
  <c r="AF18" i="45"/>
  <c r="Q21" i="6" l="1"/>
  <c r="R19" i="6" s="1"/>
  <c r="R13" i="1"/>
  <c r="R15" i="1" s="1"/>
  <c r="AE26" i="41"/>
  <c r="AF18" i="41"/>
  <c r="AF26" i="45"/>
  <c r="L28" i="41"/>
  <c r="L29" i="41" s="1"/>
  <c r="L37" i="41" s="1"/>
  <c r="N18" i="3"/>
  <c r="L22" i="41"/>
  <c r="M13" i="28"/>
  <c r="M15" i="28" s="1"/>
  <c r="L24" i="45"/>
  <c r="AF26" i="41" l="1"/>
  <c r="M20" i="45"/>
  <c r="M13" i="29"/>
  <c r="M15" i="29" s="1"/>
  <c r="N31" i="3" s="1"/>
  <c r="N51" i="3" s="1"/>
  <c r="L24" i="41"/>
  <c r="R24" i="6"/>
  <c r="R25" i="6" s="1"/>
  <c r="R33" i="6" s="1"/>
  <c r="R20" i="6"/>
  <c r="R21" i="6" l="1"/>
  <c r="S19" i="6" s="1"/>
  <c r="S13" i="1"/>
  <c r="S15" i="1" s="1"/>
  <c r="M20" i="41"/>
  <c r="M28" i="45"/>
  <c r="M29" i="45" s="1"/>
  <c r="M37" i="45" s="1"/>
  <c r="M22" i="45"/>
  <c r="N13" i="28" l="1"/>
  <c r="N15" i="28" s="1"/>
  <c r="M24" i="45"/>
  <c r="S24" i="6"/>
  <c r="S25" i="6" s="1"/>
  <c r="S33" i="6" s="1"/>
  <c r="S20" i="6"/>
  <c r="M28" i="41"/>
  <c r="M29" i="41" s="1"/>
  <c r="M37" i="41" s="1"/>
  <c r="O18" i="3"/>
  <c r="M22" i="41"/>
  <c r="S21" i="6" l="1"/>
  <c r="T19" i="6" s="1"/>
  <c r="T13" i="1"/>
  <c r="T15" i="1" s="1"/>
  <c r="N13" i="29"/>
  <c r="N15" i="29" s="1"/>
  <c r="O31" i="3" s="1"/>
  <c r="O51" i="3" s="1"/>
  <c r="M24" i="41"/>
  <c r="N20" i="45"/>
  <c r="N20" i="41" l="1"/>
  <c r="N28" i="45"/>
  <c r="N29" i="45" s="1"/>
  <c r="N37" i="45" s="1"/>
  <c r="N22" i="45"/>
  <c r="T24" i="6"/>
  <c r="T25" i="6" s="1"/>
  <c r="T33" i="6" s="1"/>
  <c r="T20" i="6"/>
  <c r="T21" i="6" l="1"/>
  <c r="U19" i="6" s="1"/>
  <c r="U13" i="1"/>
  <c r="U15" i="1" s="1"/>
  <c r="P18" i="3"/>
  <c r="N28" i="41"/>
  <c r="N29" i="41" s="1"/>
  <c r="N37" i="41" s="1"/>
  <c r="N22" i="41"/>
  <c r="O13" i="28"/>
  <c r="O15" i="28" s="1"/>
  <c r="N24" i="45"/>
  <c r="O20" i="45" l="1"/>
  <c r="O13" i="29"/>
  <c r="O15" i="29" s="1"/>
  <c r="P31" i="3" s="1"/>
  <c r="P51" i="3" s="1"/>
  <c r="N24" i="41"/>
  <c r="U24" i="6"/>
  <c r="U25" i="6" s="1"/>
  <c r="U33" i="6" s="1"/>
  <c r="U20" i="6"/>
  <c r="U21" i="6" l="1"/>
  <c r="V19" i="6" s="1"/>
  <c r="V13" i="1"/>
  <c r="V15" i="1" s="1"/>
  <c r="O20" i="41"/>
  <c r="O28" i="45"/>
  <c r="O29" i="45" s="1"/>
  <c r="O37" i="45" s="1"/>
  <c r="O22" i="45"/>
  <c r="O28" i="41" l="1"/>
  <c r="O29" i="41" s="1"/>
  <c r="O37" i="41" s="1"/>
  <c r="Q18" i="3"/>
  <c r="O22" i="41"/>
  <c r="P13" i="28"/>
  <c r="P15" i="28" s="1"/>
  <c r="O24" i="45"/>
  <c r="V24" i="6"/>
  <c r="V25" i="6" s="1"/>
  <c r="V33" i="6" s="1"/>
  <c r="V20" i="6"/>
  <c r="V21" i="6" l="1"/>
  <c r="W19" i="6" s="1"/>
  <c r="W13" i="1"/>
  <c r="W15" i="1" s="1"/>
  <c r="P20" i="45"/>
  <c r="P13" i="29"/>
  <c r="P15" i="29" s="1"/>
  <c r="Q31" i="3" s="1"/>
  <c r="Q51" i="3" s="1"/>
  <c r="O24" i="41"/>
  <c r="P20" i="41" l="1"/>
  <c r="P28" i="45"/>
  <c r="P29" i="45" s="1"/>
  <c r="P37" i="45" s="1"/>
  <c r="P22" i="45"/>
  <c r="W24" i="6"/>
  <c r="W25" i="6" s="1"/>
  <c r="W33" i="6" s="1"/>
  <c r="W20" i="6"/>
  <c r="W21" i="6" l="1"/>
  <c r="X19" i="6" s="1"/>
  <c r="X13" i="1"/>
  <c r="X15" i="1" s="1"/>
  <c r="R18" i="3"/>
  <c r="P28" i="41"/>
  <c r="P29" i="41" s="1"/>
  <c r="P37" i="41" s="1"/>
  <c r="P22" i="41"/>
  <c r="Q13" i="28"/>
  <c r="Q15" i="28" s="1"/>
  <c r="P24" i="45"/>
  <c r="Q20" i="45" l="1"/>
  <c r="Q13" i="29"/>
  <c r="Q15" i="29" s="1"/>
  <c r="R31" i="3" s="1"/>
  <c r="R51" i="3" s="1"/>
  <c r="P24" i="41"/>
  <c r="X24" i="6"/>
  <c r="X25" i="6" s="1"/>
  <c r="X33" i="6" s="1"/>
  <c r="X20" i="6"/>
  <c r="X21" i="6" l="1"/>
  <c r="Y19" i="6" s="1"/>
  <c r="Y13" i="1"/>
  <c r="Y15" i="1" s="1"/>
  <c r="Q20" i="41"/>
  <c r="Q28" i="45"/>
  <c r="Q29" i="45" s="1"/>
  <c r="Q37" i="45" s="1"/>
  <c r="Q22" i="45"/>
  <c r="Y24" i="6" l="1"/>
  <c r="Y25" i="6" s="1"/>
  <c r="Y33" i="6" s="1"/>
  <c r="Y20" i="6"/>
  <c r="S18" i="3"/>
  <c r="Q28" i="41"/>
  <c r="Q29" i="41" s="1"/>
  <c r="Q37" i="41" s="1"/>
  <c r="Q22" i="41"/>
  <c r="Q13" i="45"/>
  <c r="R13" i="28"/>
  <c r="R15" i="28" s="1"/>
  <c r="Q24" i="45"/>
  <c r="Y21" i="6" l="1"/>
  <c r="Z19" i="6" s="1"/>
  <c r="Z13" i="1"/>
  <c r="Z15" i="1" s="1"/>
  <c r="Q13" i="41"/>
  <c r="R13" i="29"/>
  <c r="R15" i="29" s="1"/>
  <c r="S31" i="3" s="1"/>
  <c r="S51" i="3" s="1"/>
  <c r="Q24" i="41"/>
  <c r="R20" i="45"/>
  <c r="R28" i="45" l="1"/>
  <c r="R29" i="45" s="1"/>
  <c r="R37" i="45" s="1"/>
  <c r="R22" i="45"/>
  <c r="Z24" i="6"/>
  <c r="Z25" i="6" s="1"/>
  <c r="Z33" i="6" s="1"/>
  <c r="Z20" i="6"/>
  <c r="R20" i="41"/>
  <c r="Z21" i="6" l="1"/>
  <c r="AA19" i="6" s="1"/>
  <c r="AA13" i="1"/>
  <c r="AA15" i="1" s="1"/>
  <c r="R28" i="41"/>
  <c r="R29" i="41" s="1"/>
  <c r="R37" i="41" s="1"/>
  <c r="T18" i="3"/>
  <c r="R22" i="41"/>
  <c r="S13" i="28"/>
  <c r="S15" i="28" s="1"/>
  <c r="R24" i="45"/>
  <c r="S20" i="45" l="1"/>
  <c r="S13" i="29"/>
  <c r="S15" i="29" s="1"/>
  <c r="T31" i="3" s="1"/>
  <c r="T51" i="3" s="1"/>
  <c r="R24" i="41"/>
  <c r="AA24" i="6"/>
  <c r="AA25" i="6" s="1"/>
  <c r="AA33" i="6" s="1"/>
  <c r="AA20" i="6"/>
  <c r="AA21" i="6" l="1"/>
  <c r="AB19" i="6" s="1"/>
  <c r="AB13" i="1"/>
  <c r="AB15" i="1" s="1"/>
  <c r="S20" i="41"/>
  <c r="S28" i="45"/>
  <c r="S29" i="45" s="1"/>
  <c r="S37" i="45" s="1"/>
  <c r="S22" i="45"/>
  <c r="S28" i="41" l="1"/>
  <c r="S29" i="41" s="1"/>
  <c r="S37" i="41" s="1"/>
  <c r="U18" i="3"/>
  <c r="S22" i="41"/>
  <c r="T13" i="28"/>
  <c r="T15" i="28" s="1"/>
  <c r="S24" i="45"/>
  <c r="AB24" i="6"/>
  <c r="AB25" i="6" s="1"/>
  <c r="AB33" i="6" s="1"/>
  <c r="AB20" i="6"/>
  <c r="AB21" i="6" l="1"/>
  <c r="AC19" i="6" s="1"/>
  <c r="AC13" i="1"/>
  <c r="AC15" i="1" s="1"/>
  <c r="T20" i="45"/>
  <c r="T13" i="29"/>
  <c r="T15" i="29" s="1"/>
  <c r="U31" i="3" s="1"/>
  <c r="U51" i="3" s="1"/>
  <c r="S24" i="41"/>
  <c r="T20" i="41" l="1"/>
  <c r="T28" i="45"/>
  <c r="T29" i="45" s="1"/>
  <c r="T37" i="45" s="1"/>
  <c r="T22" i="45"/>
  <c r="AC24" i="6"/>
  <c r="AC25" i="6" s="1"/>
  <c r="AC33" i="6" s="1"/>
  <c r="AC20" i="6"/>
  <c r="AC21" i="6" l="1"/>
  <c r="AD19" i="6" s="1"/>
  <c r="AD13" i="1"/>
  <c r="AD15" i="1" s="1"/>
  <c r="U13" i="28"/>
  <c r="U15" i="28" s="1"/>
  <c r="T24" i="45"/>
  <c r="V18" i="3"/>
  <c r="T28" i="41"/>
  <c r="T29" i="41" s="1"/>
  <c r="T37" i="41" s="1"/>
  <c r="T22" i="41"/>
  <c r="U13" i="29" l="1"/>
  <c r="U15" i="29" s="1"/>
  <c r="V31" i="3" s="1"/>
  <c r="V51" i="3" s="1"/>
  <c r="T24" i="41"/>
  <c r="AD24" i="6"/>
  <c r="AD25" i="6" s="1"/>
  <c r="AD33" i="6" s="1"/>
  <c r="AD20" i="6"/>
  <c r="U20" i="45"/>
  <c r="AD21" i="6" l="1"/>
  <c r="AE19" i="6" s="1"/>
  <c r="AE13" i="1"/>
  <c r="AE15" i="1" s="1"/>
  <c r="U20" i="41"/>
  <c r="U28" i="45"/>
  <c r="U29" i="45" s="1"/>
  <c r="U37" i="45" s="1"/>
  <c r="U22" i="45"/>
  <c r="W18" i="3" l="1"/>
  <c r="U28" i="41"/>
  <c r="U29" i="41" s="1"/>
  <c r="U37" i="41" s="1"/>
  <c r="U22" i="41"/>
  <c r="V13" i="28"/>
  <c r="V15" i="28" s="1"/>
  <c r="U24" i="45"/>
  <c r="AE24" i="6"/>
  <c r="AE25" i="6" s="1"/>
  <c r="AE33" i="6" s="1"/>
  <c r="AE20" i="6"/>
  <c r="AE21" i="6" l="1"/>
  <c r="AF19" i="6" s="1"/>
  <c r="AF13" i="1"/>
  <c r="AF15" i="1" s="1"/>
  <c r="V20" i="45"/>
  <c r="V13" i="29"/>
  <c r="V15" i="29" s="1"/>
  <c r="W31" i="3" s="1"/>
  <c r="W51" i="3" s="1"/>
  <c r="U24" i="41"/>
  <c r="V20" i="41" l="1"/>
  <c r="V28" i="45"/>
  <c r="V29" i="45" s="1"/>
  <c r="V37" i="45" s="1"/>
  <c r="V22" i="45"/>
  <c r="AF24" i="6"/>
  <c r="AF25" i="6" s="1"/>
  <c r="AF20" i="6"/>
  <c r="AF21" i="6" l="1"/>
  <c r="AG13" i="1"/>
  <c r="AG15" i="1" s="1"/>
  <c r="AF33" i="6"/>
  <c r="B27" i="6"/>
  <c r="X18" i="3"/>
  <c r="V28" i="41"/>
  <c r="V29" i="41" s="1"/>
  <c r="V37" i="41" s="1"/>
  <c r="V22" i="41"/>
  <c r="W13" i="28"/>
  <c r="W15" i="28" s="1"/>
  <c r="V24" i="45"/>
  <c r="E19" i="2" l="1"/>
  <c r="F19" i="2"/>
  <c r="G54" i="3" s="1"/>
  <c r="P19" i="2"/>
  <c r="AG19" i="2"/>
  <c r="AA19" i="2"/>
  <c r="N19" i="2"/>
  <c r="AD19" i="2"/>
  <c r="D19" i="2"/>
  <c r="D10" i="2"/>
  <c r="G19" i="2"/>
  <c r="W19" i="2"/>
  <c r="AE19" i="2"/>
  <c r="U19" i="2"/>
  <c r="V19" i="2"/>
  <c r="X19" i="2"/>
  <c r="AF19" i="2"/>
  <c r="M19" i="2"/>
  <c r="T19" i="2"/>
  <c r="I19" i="2"/>
  <c r="L19" i="2"/>
  <c r="R19" i="2"/>
  <c r="H19" i="2"/>
  <c r="Y19" i="2"/>
  <c r="K19" i="2"/>
  <c r="Q19" i="2"/>
  <c r="AB19" i="2"/>
  <c r="J19" i="2"/>
  <c r="AC19" i="2"/>
  <c r="O19" i="2"/>
  <c r="Z19" i="2"/>
  <c r="S19" i="2"/>
  <c r="Q11" i="43"/>
  <c r="Q41" i="43" s="1"/>
  <c r="P11" i="43"/>
  <c r="P41" i="43" s="1"/>
  <c r="R11" i="43"/>
  <c r="R41" i="43" s="1"/>
  <c r="S11" i="43"/>
  <c r="S41" i="43" s="1"/>
  <c r="T11" i="43"/>
  <c r="T41" i="43" s="1"/>
  <c r="U11" i="43"/>
  <c r="U41" i="43" s="1"/>
  <c r="V11" i="43"/>
  <c r="V41" i="43" s="1"/>
  <c r="W11" i="43"/>
  <c r="W41" i="43" s="1"/>
  <c r="X11" i="43"/>
  <c r="X41" i="43" s="1"/>
  <c r="Y11" i="43"/>
  <c r="Y41" i="43" s="1"/>
  <c r="Z11" i="43"/>
  <c r="Z41" i="43" s="1"/>
  <c r="AA11" i="43"/>
  <c r="AA41" i="43" s="1"/>
  <c r="AB11" i="43"/>
  <c r="AB41" i="43" s="1"/>
  <c r="AC11" i="43"/>
  <c r="AC41" i="43" s="1"/>
  <c r="AD11" i="43"/>
  <c r="AD41" i="43" s="1"/>
  <c r="AE11" i="43"/>
  <c r="AE41" i="43" s="1"/>
  <c r="AF11" i="43"/>
  <c r="AF41" i="43" s="1"/>
  <c r="AG11" i="43"/>
  <c r="AG41" i="43" s="1"/>
  <c r="I10" i="2"/>
  <c r="K11" i="43"/>
  <c r="E11" i="43"/>
  <c r="M10" i="2"/>
  <c r="H11" i="46"/>
  <c r="E11" i="46"/>
  <c r="F11" i="46"/>
  <c r="P10" i="2"/>
  <c r="F11" i="43"/>
  <c r="G11" i="46"/>
  <c r="M11" i="46"/>
  <c r="H10" i="2"/>
  <c r="N11" i="46"/>
  <c r="N11" i="43"/>
  <c r="O10" i="2"/>
  <c r="F10" i="2"/>
  <c r="G11" i="43"/>
  <c r="J11" i="46"/>
  <c r="K10" i="2"/>
  <c r="O11" i="43"/>
  <c r="C12" i="2"/>
  <c r="O11" i="46"/>
  <c r="G10" i="2"/>
  <c r="D4" i="2"/>
  <c r="D11" i="2"/>
  <c r="E10" i="2"/>
  <c r="N10" i="2"/>
  <c r="C10" i="2"/>
  <c r="I11" i="46"/>
  <c r="I11" i="43"/>
  <c r="J11" i="43"/>
  <c r="C11" i="43"/>
  <c r="C41" i="43" s="1"/>
  <c r="C11" i="46"/>
  <c r="C41" i="46" s="1"/>
  <c r="K11" i="46"/>
  <c r="C13" i="43"/>
  <c r="M11" i="43"/>
  <c r="L10" i="2"/>
  <c r="H11" i="43"/>
  <c r="C13" i="46"/>
  <c r="P11" i="46"/>
  <c r="J10" i="2"/>
  <c r="L11" i="46"/>
  <c r="D11" i="43"/>
  <c r="L11" i="43"/>
  <c r="D11" i="46"/>
  <c r="W20" i="45"/>
  <c r="W13" i="29"/>
  <c r="W15" i="29" s="1"/>
  <c r="X31" i="3" s="1"/>
  <c r="X51" i="3" s="1"/>
  <c r="V24" i="41"/>
  <c r="E11" i="2" l="1"/>
  <c r="F11" i="2" s="1"/>
  <c r="G11" i="2" s="1"/>
  <c r="H11" i="2" s="1"/>
  <c r="I11" i="2" s="1"/>
  <c r="F10" i="3"/>
  <c r="F23" i="3" s="1"/>
  <c r="K10" i="3"/>
  <c r="K53" i="3" s="1"/>
  <c r="L10" i="3"/>
  <c r="L53" i="3" s="1"/>
  <c r="D12" i="43"/>
  <c r="E12" i="43" s="1"/>
  <c r="F12" i="43" s="1"/>
  <c r="G12" i="43" s="1"/>
  <c r="H12" i="43" s="1"/>
  <c r="I12" i="43" s="1"/>
  <c r="J12" i="43" s="1"/>
  <c r="K12" i="43" s="1"/>
  <c r="L12" i="43" s="1"/>
  <c r="M12" i="43" s="1"/>
  <c r="N12" i="43" s="1"/>
  <c r="O12" i="43" s="1"/>
  <c r="P12" i="43" s="1"/>
  <c r="Q12" i="43" s="1"/>
  <c r="R12" i="43" s="1"/>
  <c r="S12" i="43" s="1"/>
  <c r="T12" i="43" s="1"/>
  <c r="U12" i="43" s="1"/>
  <c r="V12" i="43" s="1"/>
  <c r="W12" i="43" s="1"/>
  <c r="X12" i="43" s="1"/>
  <c r="Y12" i="43" s="1"/>
  <c r="Z12" i="43" s="1"/>
  <c r="AA12" i="43" s="1"/>
  <c r="AB12" i="43" s="1"/>
  <c r="AC12" i="43" s="1"/>
  <c r="AD12" i="43" s="1"/>
  <c r="AE12" i="43" s="1"/>
  <c r="AF12" i="43" s="1"/>
  <c r="AG12" i="43" s="1"/>
  <c r="D41" i="43"/>
  <c r="E41" i="43" s="1"/>
  <c r="F41" i="43" s="1"/>
  <c r="G41" i="43" s="1"/>
  <c r="H41" i="43" s="1"/>
  <c r="I41" i="43" s="1"/>
  <c r="J41" i="43" s="1"/>
  <c r="K41" i="43" s="1"/>
  <c r="L41" i="43" s="1"/>
  <c r="M41" i="43" s="1"/>
  <c r="N41" i="43" s="1"/>
  <c r="O41" i="43" s="1"/>
  <c r="Q10" i="3" s="1"/>
  <c r="D13" i="46"/>
  <c r="E13" i="46" s="1"/>
  <c r="F13" i="46" s="1"/>
  <c r="G13" i="46" s="1"/>
  <c r="H13" i="46" s="1"/>
  <c r="I13" i="46" s="1"/>
  <c r="J13" i="46" s="1"/>
  <c r="K13" i="46" s="1"/>
  <c r="L13" i="46" s="1"/>
  <c r="M13" i="46" s="1"/>
  <c r="N13" i="46" s="1"/>
  <c r="O13" i="46" s="1"/>
  <c r="P13" i="46" s="1"/>
  <c r="E10" i="3"/>
  <c r="D5" i="46"/>
  <c r="R10" i="3"/>
  <c r="D5" i="43"/>
  <c r="E4" i="2"/>
  <c r="F4" i="2" s="1"/>
  <c r="G4" i="2" s="1"/>
  <c r="H4" i="2" s="1"/>
  <c r="H7" i="2" s="1"/>
  <c r="D41" i="46"/>
  <c r="E41" i="46" s="1"/>
  <c r="F41" i="46" s="1"/>
  <c r="G41" i="46" s="1"/>
  <c r="H41" i="46" s="1"/>
  <c r="I41" i="46" s="1"/>
  <c r="J41" i="46" s="1"/>
  <c r="K41" i="46" s="1"/>
  <c r="L41" i="46" s="1"/>
  <c r="M41" i="46" s="1"/>
  <c r="N41" i="46" s="1"/>
  <c r="O41" i="46" s="1"/>
  <c r="P41" i="46" s="1"/>
  <c r="D12" i="46"/>
  <c r="E12" i="46" s="1"/>
  <c r="F12" i="46" s="1"/>
  <c r="G12" i="46" s="1"/>
  <c r="H12" i="46" s="1"/>
  <c r="I12" i="46" s="1"/>
  <c r="J12" i="46" s="1"/>
  <c r="K12" i="46" s="1"/>
  <c r="L12" i="46" s="1"/>
  <c r="M12" i="46" s="1"/>
  <c r="N12" i="46" s="1"/>
  <c r="O12" i="46" s="1"/>
  <c r="P12" i="46" s="1"/>
  <c r="D13" i="43"/>
  <c r="E13" i="43" s="1"/>
  <c r="F13" i="43" s="1"/>
  <c r="G13" i="43" s="1"/>
  <c r="H13" i="43" s="1"/>
  <c r="I13" i="43" s="1"/>
  <c r="J13" i="43" s="1"/>
  <c r="K13" i="43" s="1"/>
  <c r="L13" i="43" s="1"/>
  <c r="M13" i="43" s="1"/>
  <c r="N13" i="43" s="1"/>
  <c r="O13" i="43" s="1"/>
  <c r="P13" i="43" s="1"/>
  <c r="Q13" i="43" s="1"/>
  <c r="R13" i="43" s="1"/>
  <c r="S13" i="43" s="1"/>
  <c r="T13" i="43" s="1"/>
  <c r="U13" i="43" s="1"/>
  <c r="V13" i="43" s="1"/>
  <c r="W13" i="43" s="1"/>
  <c r="X13" i="43" s="1"/>
  <c r="Y13" i="43" s="1"/>
  <c r="Z13" i="43" s="1"/>
  <c r="AA13" i="43" s="1"/>
  <c r="AB13" i="43" s="1"/>
  <c r="AC13" i="43" s="1"/>
  <c r="AD13" i="43" s="1"/>
  <c r="AE13" i="43" s="1"/>
  <c r="AF13" i="43" s="1"/>
  <c r="AG13" i="43" s="1"/>
  <c r="J11" i="2"/>
  <c r="K11" i="2" s="1"/>
  <c r="L11" i="2" s="1"/>
  <c r="M11" i="2" s="1"/>
  <c r="N11" i="2" s="1"/>
  <c r="O11" i="2" s="1"/>
  <c r="P11" i="2" s="1"/>
  <c r="D12" i="2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W20" i="41"/>
  <c r="W28" i="45"/>
  <c r="W29" i="45" s="1"/>
  <c r="W37" i="45" s="1"/>
  <c r="W22" i="45"/>
  <c r="K12" i="3" l="1"/>
  <c r="K14" i="3" s="1"/>
  <c r="K17" i="3" s="1"/>
  <c r="K20" i="3" s="1"/>
  <c r="K21" i="3" s="1"/>
  <c r="K22" i="3" s="1"/>
  <c r="L12" i="3"/>
  <c r="L14" i="3" s="1"/>
  <c r="L17" i="3" s="1"/>
  <c r="L20" i="3" s="1"/>
  <c r="L21" i="3" s="1"/>
  <c r="L22" i="3" s="1"/>
  <c r="Q11" i="2"/>
  <c r="R11" i="2" s="1"/>
  <c r="S11" i="2" s="1"/>
  <c r="T11" i="2" s="1"/>
  <c r="U11" i="2" s="1"/>
  <c r="V11" i="2" s="1"/>
  <c r="W11" i="2" s="1"/>
  <c r="X11" i="2" s="1"/>
  <c r="Y11" i="2" s="1"/>
  <c r="Z11" i="2" s="1"/>
  <c r="AA11" i="2" s="1"/>
  <c r="AB11" i="2" s="1"/>
  <c r="AC11" i="2" s="1"/>
  <c r="AD11" i="2" s="1"/>
  <c r="AE11" i="2" s="1"/>
  <c r="AF11" i="2" s="1"/>
  <c r="AG11" i="2" s="1"/>
  <c r="F12" i="3"/>
  <c r="F14" i="3" s="1"/>
  <c r="F17" i="3" s="1"/>
  <c r="F20" i="3" s="1"/>
  <c r="F21" i="3" s="1"/>
  <c r="F22" i="3" s="1"/>
  <c r="F33" i="3" s="1"/>
  <c r="Q53" i="3"/>
  <c r="Q23" i="3"/>
  <c r="L23" i="3"/>
  <c r="K23" i="3"/>
  <c r="O10" i="3"/>
  <c r="I10" i="3"/>
  <c r="I23" i="3" s="1"/>
  <c r="Q12" i="3"/>
  <c r="Q14" i="3" s="1"/>
  <c r="Q17" i="3" s="1"/>
  <c r="Q20" i="3" s="1"/>
  <c r="Q21" i="3" s="1"/>
  <c r="Q22" i="3" s="1"/>
  <c r="N10" i="3"/>
  <c r="N53" i="3" s="1"/>
  <c r="P10" i="3"/>
  <c r="P53" i="3" s="1"/>
  <c r="H10" i="3"/>
  <c r="H53" i="3" s="1"/>
  <c r="H54" i="3" s="1"/>
  <c r="M10" i="3"/>
  <c r="M53" i="3" s="1"/>
  <c r="J10" i="3"/>
  <c r="J53" i="3" s="1"/>
  <c r="G10" i="3"/>
  <c r="Q12" i="2"/>
  <c r="R12" i="2" s="1"/>
  <c r="S12" i="2" s="1"/>
  <c r="T12" i="2" s="1"/>
  <c r="U12" i="2" s="1"/>
  <c r="V12" i="2" s="1"/>
  <c r="W12" i="2" s="1"/>
  <c r="X12" i="2" s="1"/>
  <c r="Y12" i="2" s="1"/>
  <c r="Z12" i="2" s="1"/>
  <c r="AA12" i="2" s="1"/>
  <c r="AB12" i="2" s="1"/>
  <c r="AC12" i="2" s="1"/>
  <c r="AD12" i="2" s="1"/>
  <c r="AE12" i="2" s="1"/>
  <c r="AF12" i="2" s="1"/>
  <c r="AG12" i="2" s="1"/>
  <c r="E49" i="3" s="1"/>
  <c r="E12" i="3"/>
  <c r="E14" i="3" s="1"/>
  <c r="E17" i="3" s="1"/>
  <c r="E20" i="3" s="1"/>
  <c r="E21" i="3" s="1"/>
  <c r="E22" i="3" s="1"/>
  <c r="E23" i="3"/>
  <c r="R53" i="3"/>
  <c r="E5" i="43"/>
  <c r="F5" i="43" s="1"/>
  <c r="G5" i="43" s="1"/>
  <c r="H5" i="43" s="1"/>
  <c r="H8" i="43" s="1"/>
  <c r="T11" i="46"/>
  <c r="T41" i="46" s="1"/>
  <c r="Y11" i="46"/>
  <c r="Y41" i="46" s="1"/>
  <c r="S11" i="46"/>
  <c r="S41" i="46" s="1"/>
  <c r="X11" i="46"/>
  <c r="X41" i="46" s="1"/>
  <c r="AG11" i="46"/>
  <c r="AG41" i="46" s="1"/>
  <c r="Q11" i="46"/>
  <c r="Q41" i="46" s="1"/>
  <c r="R11" i="46"/>
  <c r="R41" i="46" s="1"/>
  <c r="AF11" i="46"/>
  <c r="AF41" i="46" s="1"/>
  <c r="Z11" i="46"/>
  <c r="Z41" i="46" s="1"/>
  <c r="E5" i="46"/>
  <c r="F5" i="46" s="1"/>
  <c r="G5" i="46" s="1"/>
  <c r="H5" i="46" s="1"/>
  <c r="H8" i="46" s="1"/>
  <c r="U11" i="46"/>
  <c r="U41" i="46" s="1"/>
  <c r="V11" i="46"/>
  <c r="V41" i="46" s="1"/>
  <c r="AE11" i="46"/>
  <c r="AE41" i="46" s="1"/>
  <c r="AD11" i="46"/>
  <c r="AD41" i="46" s="1"/>
  <c r="W11" i="46"/>
  <c r="W41" i="46" s="1"/>
  <c r="AC11" i="46"/>
  <c r="AC41" i="46" s="1"/>
  <c r="AA11" i="46"/>
  <c r="AA41" i="46" s="1"/>
  <c r="AB11" i="46"/>
  <c r="AB41" i="46" s="1"/>
  <c r="Y18" i="3"/>
  <c r="W28" i="41"/>
  <c r="W29" i="41" s="1"/>
  <c r="W37" i="41" s="1"/>
  <c r="W22" i="41"/>
  <c r="X13" i="28"/>
  <c r="X15" i="28" s="1"/>
  <c r="W24" i="45"/>
  <c r="K33" i="3" l="1"/>
  <c r="L33" i="3"/>
  <c r="Q33" i="3"/>
  <c r="O53" i="3"/>
  <c r="O12" i="3"/>
  <c r="O14" i="3" s="1"/>
  <c r="O17" i="3" s="1"/>
  <c r="O20" i="3" s="1"/>
  <c r="O21" i="3" s="1"/>
  <c r="O22" i="3" s="1"/>
  <c r="O23" i="3"/>
  <c r="I53" i="3"/>
  <c r="I54" i="3" s="1"/>
  <c r="I12" i="3"/>
  <c r="I14" i="3" s="1"/>
  <c r="I17" i="3" s="1"/>
  <c r="I20" i="3" s="1"/>
  <c r="I21" i="3" s="1"/>
  <c r="I22" i="3" s="1"/>
  <c r="I33" i="3" s="1"/>
  <c r="Q13" i="46"/>
  <c r="R13" i="46" s="1"/>
  <c r="S13" i="46" s="1"/>
  <c r="T13" i="46" s="1"/>
  <c r="U13" i="46" s="1"/>
  <c r="V13" i="46" s="1"/>
  <c r="W13" i="46" s="1"/>
  <c r="X13" i="46" s="1"/>
  <c r="Y13" i="46" s="1"/>
  <c r="Z13" i="46" s="1"/>
  <c r="AA13" i="46" s="1"/>
  <c r="AB13" i="46" s="1"/>
  <c r="AC13" i="46" s="1"/>
  <c r="AD13" i="46" s="1"/>
  <c r="AE13" i="46" s="1"/>
  <c r="AF13" i="46" s="1"/>
  <c r="AG13" i="46" s="1"/>
  <c r="AE10" i="3"/>
  <c r="AE53" i="3" s="1"/>
  <c r="AF10" i="3"/>
  <c r="AF53" i="3" s="1"/>
  <c r="Z10" i="3"/>
  <c r="Z53" i="3" s="1"/>
  <c r="AA10" i="3"/>
  <c r="AA53" i="3" s="1"/>
  <c r="G12" i="3"/>
  <c r="G14" i="3" s="1"/>
  <c r="G17" i="3" s="1"/>
  <c r="G20" i="3" s="1"/>
  <c r="G21" i="3" s="1"/>
  <c r="G22" i="3" s="1"/>
  <c r="G23" i="3"/>
  <c r="M12" i="3"/>
  <c r="M14" i="3" s="1"/>
  <c r="M17" i="3" s="1"/>
  <c r="M20" i="3" s="1"/>
  <c r="M21" i="3" s="1"/>
  <c r="M22" i="3" s="1"/>
  <c r="M23" i="3"/>
  <c r="P23" i="3"/>
  <c r="P12" i="3"/>
  <c r="P14" i="3" s="1"/>
  <c r="P17" i="3" s="1"/>
  <c r="P20" i="3" s="1"/>
  <c r="P21" i="3" s="1"/>
  <c r="P22" i="3" s="1"/>
  <c r="J23" i="3"/>
  <c r="J12" i="3"/>
  <c r="J14" i="3" s="1"/>
  <c r="J17" i="3" s="1"/>
  <c r="J20" i="3" s="1"/>
  <c r="J21" i="3" s="1"/>
  <c r="J22" i="3" s="1"/>
  <c r="H23" i="3"/>
  <c r="H12" i="3"/>
  <c r="H14" i="3" s="1"/>
  <c r="H17" i="3" s="1"/>
  <c r="H20" i="3" s="1"/>
  <c r="H21" i="3" s="1"/>
  <c r="H22" i="3" s="1"/>
  <c r="N12" i="3"/>
  <c r="N14" i="3" s="1"/>
  <c r="N17" i="3" s="1"/>
  <c r="N20" i="3" s="1"/>
  <c r="N21" i="3" s="1"/>
  <c r="N22" i="3" s="1"/>
  <c r="N23" i="3"/>
  <c r="U10" i="3"/>
  <c r="U53" i="3" s="1"/>
  <c r="AB10" i="3"/>
  <c r="AB12" i="3" s="1"/>
  <c r="AB14" i="3" s="1"/>
  <c r="AB17" i="3" s="1"/>
  <c r="AG10" i="3"/>
  <c r="AG23" i="3" s="1"/>
  <c r="AI10" i="3"/>
  <c r="AI53" i="3" s="1"/>
  <c r="S10" i="3"/>
  <c r="S53" i="3" s="1"/>
  <c r="AH10" i="3"/>
  <c r="AH12" i="3" s="1"/>
  <c r="AH14" i="3" s="1"/>
  <c r="AH17" i="3" s="1"/>
  <c r="X10" i="3"/>
  <c r="X12" i="3" s="1"/>
  <c r="X14" i="3" s="1"/>
  <c r="X17" i="3" s="1"/>
  <c r="X20" i="3" s="1"/>
  <c r="X21" i="3" s="1"/>
  <c r="X22" i="3" s="1"/>
  <c r="W10" i="3"/>
  <c r="W53" i="3" s="1"/>
  <c r="AC10" i="3"/>
  <c r="AC12" i="3" s="1"/>
  <c r="AC14" i="3" s="1"/>
  <c r="AC17" i="3" s="1"/>
  <c r="AD10" i="3"/>
  <c r="AD53" i="3" s="1"/>
  <c r="Y10" i="3"/>
  <c r="Y12" i="3" s="1"/>
  <c r="Y14" i="3" s="1"/>
  <c r="Y17" i="3" s="1"/>
  <c r="Y20" i="3" s="1"/>
  <c r="Y21" i="3" s="1"/>
  <c r="Y22" i="3" s="1"/>
  <c r="V10" i="3"/>
  <c r="V12" i="3" s="1"/>
  <c r="V14" i="3" s="1"/>
  <c r="V17" i="3" s="1"/>
  <c r="V20" i="3" s="1"/>
  <c r="V21" i="3" s="1"/>
  <c r="V22" i="3" s="1"/>
  <c r="T10" i="3"/>
  <c r="R12" i="3"/>
  <c r="R14" i="3" s="1"/>
  <c r="R17" i="3" s="1"/>
  <c r="R20" i="3" s="1"/>
  <c r="R21" i="3" s="1"/>
  <c r="R22" i="3" s="1"/>
  <c r="R23" i="3"/>
  <c r="E33" i="3"/>
  <c r="Q12" i="46"/>
  <c r="R12" i="46" s="1"/>
  <c r="S12" i="46" s="1"/>
  <c r="T12" i="46" s="1"/>
  <c r="U12" i="46" s="1"/>
  <c r="V12" i="46" s="1"/>
  <c r="W12" i="46" s="1"/>
  <c r="X12" i="46" s="1"/>
  <c r="Y12" i="46" s="1"/>
  <c r="Z12" i="46" s="1"/>
  <c r="AA12" i="46" s="1"/>
  <c r="AB12" i="46" s="1"/>
  <c r="AC12" i="46" s="1"/>
  <c r="AD12" i="46" s="1"/>
  <c r="AE12" i="46" s="1"/>
  <c r="AF12" i="46" s="1"/>
  <c r="AG12" i="46" s="1"/>
  <c r="X20" i="45"/>
  <c r="X13" i="29"/>
  <c r="X15" i="29" s="1"/>
  <c r="Y31" i="3" s="1"/>
  <c r="Y51" i="3" s="1"/>
  <c r="W24" i="41"/>
  <c r="J54" i="3" l="1"/>
  <c r="K54" i="3" s="1"/>
  <c r="L54" i="3" s="1"/>
  <c r="M54" i="3" s="1"/>
  <c r="N54" i="3" s="1"/>
  <c r="O54" i="3" s="1"/>
  <c r="P54" i="3" s="1"/>
  <c r="Q54" i="3" s="1"/>
  <c r="R54" i="3" s="1"/>
  <c r="S54" i="3" s="1"/>
  <c r="G55" i="3"/>
  <c r="Z23" i="3"/>
  <c r="AE23" i="3"/>
  <c r="AF23" i="3"/>
  <c r="O33" i="3"/>
  <c r="AA12" i="3"/>
  <c r="AA14" i="3" s="1"/>
  <c r="AA17" i="3" s="1"/>
  <c r="Z12" i="3"/>
  <c r="Z14" i="3" s="1"/>
  <c r="Z17" i="3" s="1"/>
  <c r="AE12" i="3"/>
  <c r="AE14" i="3" s="1"/>
  <c r="AE17" i="3" s="1"/>
  <c r="AD12" i="3"/>
  <c r="AD14" i="3" s="1"/>
  <c r="AD17" i="3" s="1"/>
  <c r="W12" i="3"/>
  <c r="W14" i="3" s="1"/>
  <c r="W17" i="3" s="1"/>
  <c r="W20" i="3" s="1"/>
  <c r="W21" i="3" s="1"/>
  <c r="W22" i="3" s="1"/>
  <c r="AI12" i="3"/>
  <c r="AI14" i="3" s="1"/>
  <c r="AI17" i="3" s="1"/>
  <c r="AI20" i="3" s="1"/>
  <c r="AI21" i="3" s="1"/>
  <c r="AI22" i="3" s="1"/>
  <c r="AI23" i="3"/>
  <c r="AD23" i="3"/>
  <c r="W23" i="3"/>
  <c r="N33" i="3"/>
  <c r="M33" i="3"/>
  <c r="G33" i="3"/>
  <c r="S23" i="3"/>
  <c r="U12" i="3"/>
  <c r="U14" i="3" s="1"/>
  <c r="U17" i="3" s="1"/>
  <c r="U20" i="3" s="1"/>
  <c r="U21" i="3" s="1"/>
  <c r="U22" i="3" s="1"/>
  <c r="AA23" i="3"/>
  <c r="AF12" i="3"/>
  <c r="AF14" i="3" s="1"/>
  <c r="AF17" i="3" s="1"/>
  <c r="S12" i="3"/>
  <c r="S14" i="3" s="1"/>
  <c r="S17" i="3" s="1"/>
  <c r="S20" i="3" s="1"/>
  <c r="S21" i="3" s="1"/>
  <c r="S22" i="3" s="1"/>
  <c r="S33" i="3" s="1"/>
  <c r="U23" i="3"/>
  <c r="V23" i="3"/>
  <c r="V33" i="3" s="1"/>
  <c r="V53" i="3"/>
  <c r="AH23" i="3"/>
  <c r="AH53" i="3"/>
  <c r="AB23" i="3"/>
  <c r="AB53" i="3"/>
  <c r="T12" i="3"/>
  <c r="T14" i="3" s="1"/>
  <c r="T17" i="3" s="1"/>
  <c r="T20" i="3" s="1"/>
  <c r="T21" i="3" s="1"/>
  <c r="T22" i="3" s="1"/>
  <c r="T53" i="3"/>
  <c r="Y23" i="3"/>
  <c r="Y53" i="3"/>
  <c r="AC23" i="3"/>
  <c r="AC53" i="3"/>
  <c r="X23" i="3"/>
  <c r="X33" i="3" s="1"/>
  <c r="X53" i="3"/>
  <c r="AG12" i="3"/>
  <c r="AG14" i="3" s="1"/>
  <c r="AG17" i="3" s="1"/>
  <c r="AG53" i="3"/>
  <c r="Y33" i="3"/>
  <c r="T23" i="3"/>
  <c r="H33" i="3"/>
  <c r="J33" i="3"/>
  <c r="P33" i="3"/>
  <c r="R33" i="3"/>
  <c r="X20" i="41"/>
  <c r="X28" i="45"/>
  <c r="X29" i="45" s="1"/>
  <c r="X37" i="45" s="1"/>
  <c r="X22" i="45"/>
  <c r="T54" i="3" l="1"/>
  <c r="U54" i="3" s="1"/>
  <c r="V54" i="3" s="1"/>
  <c r="W54" i="3" s="1"/>
  <c r="X54" i="3" s="1"/>
  <c r="Y54" i="3" s="1"/>
  <c r="W33" i="3"/>
  <c r="H55" i="3"/>
  <c r="AI33" i="3"/>
  <c r="U33" i="3"/>
  <c r="T33" i="3"/>
  <c r="I55" i="3"/>
  <c r="Z18" i="3"/>
  <c r="Z20" i="3" s="1"/>
  <c r="X28" i="41"/>
  <c r="X29" i="41" s="1"/>
  <c r="X37" i="41" s="1"/>
  <c r="X22" i="41"/>
  <c r="Y13" i="28"/>
  <c r="Y15" i="28" s="1"/>
  <c r="X24" i="45"/>
  <c r="J55" i="3" l="1"/>
  <c r="Y20" i="45"/>
  <c r="Y13" i="29"/>
  <c r="Y15" i="29" s="1"/>
  <c r="Z31" i="3" s="1"/>
  <c r="Z51" i="3" s="1"/>
  <c r="Z54" i="3" s="1"/>
  <c r="X24" i="41"/>
  <c r="Z21" i="3"/>
  <c r="Z22" i="3" s="1"/>
  <c r="Z33" i="3" l="1"/>
  <c r="K55" i="3"/>
  <c r="Y20" i="41"/>
  <c r="Y28" i="45"/>
  <c r="Y29" i="45" s="1"/>
  <c r="Y37" i="45" s="1"/>
  <c r="Y22" i="45"/>
  <c r="L55" i="3" l="1"/>
  <c r="AA18" i="3"/>
  <c r="AA20" i="3" s="1"/>
  <c r="Y28" i="41"/>
  <c r="Y29" i="41" s="1"/>
  <c r="Y37" i="41" s="1"/>
  <c r="Y22" i="41"/>
  <c r="Z13" i="28"/>
  <c r="Z15" i="28" s="1"/>
  <c r="Y24" i="45"/>
  <c r="M55" i="3" l="1"/>
  <c r="Z20" i="45"/>
  <c r="Z13" i="29"/>
  <c r="Z15" i="29" s="1"/>
  <c r="AA31" i="3" s="1"/>
  <c r="AA51" i="3" s="1"/>
  <c r="AA54" i="3" s="1"/>
  <c r="Y24" i="41"/>
  <c r="AA21" i="3"/>
  <c r="AA22" i="3" s="1"/>
  <c r="AA33" i="3" l="1"/>
  <c r="N55" i="3"/>
  <c r="Z20" i="41"/>
  <c r="Z28" i="45"/>
  <c r="Z29" i="45" s="1"/>
  <c r="Z37" i="45" s="1"/>
  <c r="Z22" i="45"/>
  <c r="O55" i="3" l="1"/>
  <c r="AB18" i="3"/>
  <c r="AB20" i="3" s="1"/>
  <c r="Z28" i="41"/>
  <c r="Z29" i="41" s="1"/>
  <c r="Z37" i="41" s="1"/>
  <c r="Z22" i="41"/>
  <c r="AA13" i="28"/>
  <c r="AA15" i="28" s="1"/>
  <c r="Z24" i="45"/>
  <c r="P55" i="3" l="1"/>
  <c r="AA20" i="45"/>
  <c r="AA13" i="29"/>
  <c r="AA15" i="29" s="1"/>
  <c r="AB31" i="3" s="1"/>
  <c r="AB51" i="3" s="1"/>
  <c r="AB54" i="3" s="1"/>
  <c r="Z24" i="41"/>
  <c r="AB21" i="3"/>
  <c r="AB22" i="3" s="1"/>
  <c r="AB33" i="3" l="1"/>
  <c r="Q55" i="3"/>
  <c r="AA20" i="41"/>
  <c r="AA28" i="45"/>
  <c r="AA29" i="45" s="1"/>
  <c r="AA37" i="45" s="1"/>
  <c r="AA22" i="45"/>
  <c r="R55" i="3" l="1"/>
  <c r="AA28" i="41"/>
  <c r="AA29" i="41" s="1"/>
  <c r="AA37" i="41" s="1"/>
  <c r="AC18" i="3"/>
  <c r="AC20" i="3" s="1"/>
  <c r="AA22" i="41"/>
  <c r="AB13" i="28"/>
  <c r="AB15" i="28" s="1"/>
  <c r="AA24" i="45"/>
  <c r="S55" i="3" l="1"/>
  <c r="AB20" i="45"/>
  <c r="AB13" i="29"/>
  <c r="AB15" i="29" s="1"/>
  <c r="AC31" i="3" s="1"/>
  <c r="AC51" i="3" s="1"/>
  <c r="AC54" i="3" s="1"/>
  <c r="AA24" i="41"/>
  <c r="AC21" i="3"/>
  <c r="AC22" i="3" s="1"/>
  <c r="AC33" i="3" l="1"/>
  <c r="T55" i="3"/>
  <c r="AB20" i="41"/>
  <c r="AB28" i="45"/>
  <c r="AB29" i="45" s="1"/>
  <c r="AB37" i="45" s="1"/>
  <c r="AB22" i="45"/>
  <c r="U55" i="3" l="1"/>
  <c r="AD18" i="3"/>
  <c r="AD20" i="3" s="1"/>
  <c r="AB28" i="41"/>
  <c r="AB29" i="41" s="1"/>
  <c r="AB37" i="41" s="1"/>
  <c r="AB22" i="41"/>
  <c r="AC13" i="28"/>
  <c r="AC15" i="28" s="1"/>
  <c r="AB24" i="45"/>
  <c r="V55" i="3" l="1"/>
  <c r="AC20" i="45"/>
  <c r="AC13" i="29"/>
  <c r="AC15" i="29" s="1"/>
  <c r="AD31" i="3" s="1"/>
  <c r="AD51" i="3" s="1"/>
  <c r="AD54" i="3" s="1"/>
  <c r="AB24" i="41"/>
  <c r="AD21" i="3"/>
  <c r="AD22" i="3" s="1"/>
  <c r="AD33" i="3" l="1"/>
  <c r="W55" i="3"/>
  <c r="AC20" i="41"/>
  <c r="AC28" i="45"/>
  <c r="AC29" i="45" s="1"/>
  <c r="AC37" i="45" s="1"/>
  <c r="AC22" i="45"/>
  <c r="X55" i="3" l="1"/>
  <c r="AD13" i="28"/>
  <c r="AD15" i="28" s="1"/>
  <c r="AC24" i="45"/>
  <c r="AC28" i="41"/>
  <c r="AC29" i="41" s="1"/>
  <c r="AC37" i="41" s="1"/>
  <c r="AE18" i="3"/>
  <c r="AE20" i="3" s="1"/>
  <c r="AC22" i="41"/>
  <c r="Y55" i="3" l="1"/>
  <c r="AD13" i="29"/>
  <c r="AD15" i="29" s="1"/>
  <c r="AE31" i="3" s="1"/>
  <c r="AE51" i="3" s="1"/>
  <c r="AE54" i="3" s="1"/>
  <c r="AC24" i="41"/>
  <c r="AE21" i="3"/>
  <c r="AE22" i="3" s="1"/>
  <c r="AD20" i="45"/>
  <c r="Z55" i="3" l="1"/>
  <c r="AE33" i="3"/>
  <c r="AD20" i="41"/>
  <c r="AD28" i="45"/>
  <c r="AD29" i="45" s="1"/>
  <c r="AD37" i="45" s="1"/>
  <c r="AD22" i="45"/>
  <c r="AA55" i="3" l="1"/>
  <c r="AD28" i="41"/>
  <c r="AD29" i="41" s="1"/>
  <c r="AD37" i="41" s="1"/>
  <c r="AF18" i="3"/>
  <c r="AF20" i="3" s="1"/>
  <c r="AD22" i="41"/>
  <c r="AE13" i="28"/>
  <c r="AE15" i="28" s="1"/>
  <c r="AD24" i="45"/>
  <c r="AB55" i="3" l="1"/>
  <c r="AE20" i="45"/>
  <c r="AE13" i="29"/>
  <c r="AE15" i="29" s="1"/>
  <c r="AF31" i="3" s="1"/>
  <c r="AF51" i="3" s="1"/>
  <c r="AF54" i="3" s="1"/>
  <c r="AD24" i="41"/>
  <c r="AF21" i="3"/>
  <c r="AF22" i="3" s="1"/>
  <c r="AF33" i="3" l="1"/>
  <c r="AC55" i="3"/>
  <c r="AE20" i="41"/>
  <c r="AE28" i="45"/>
  <c r="AE29" i="45" s="1"/>
  <c r="AE37" i="45" s="1"/>
  <c r="AE22" i="45"/>
  <c r="AD62" i="3" l="1"/>
  <c r="AD63" i="3" s="1"/>
  <c r="AC59" i="3"/>
  <c r="AC61" i="3" s="1"/>
  <c r="AD55" i="3"/>
  <c r="AD59" i="3" s="1"/>
  <c r="AD61" i="3" s="1"/>
  <c r="AE28" i="41"/>
  <c r="AE29" i="41" s="1"/>
  <c r="AE37" i="41" s="1"/>
  <c r="AG18" i="3"/>
  <c r="AG20" i="3" s="1"/>
  <c r="AE22" i="41"/>
  <c r="AF13" i="28"/>
  <c r="AF15" i="28" s="1"/>
  <c r="AE24" i="45"/>
  <c r="AE55" i="3" l="1"/>
  <c r="AF55" i="3"/>
  <c r="AF20" i="45"/>
  <c r="AF13" i="29"/>
  <c r="AF15" i="29" s="1"/>
  <c r="AG31" i="3" s="1"/>
  <c r="AG51" i="3" s="1"/>
  <c r="AG54" i="3" s="1"/>
  <c r="AE24" i="41"/>
  <c r="AG21" i="3"/>
  <c r="AG22" i="3" s="1"/>
  <c r="AG55" i="3" l="1"/>
  <c r="AG33" i="3"/>
  <c r="AF20" i="41"/>
  <c r="AF28" i="45"/>
  <c r="AF29" i="45" s="1"/>
  <c r="AF22" i="45"/>
  <c r="AF37" i="45" l="1"/>
  <c r="B31" i="45"/>
  <c r="AG13" i="28"/>
  <c r="AG15" i="28" s="1"/>
  <c r="AF24" i="45"/>
  <c r="AF28" i="41"/>
  <c r="AF29" i="41" s="1"/>
  <c r="AH18" i="3"/>
  <c r="AH20" i="3" s="1"/>
  <c r="AF22" i="41"/>
  <c r="AH21" i="3" l="1"/>
  <c r="AH22" i="3" s="1"/>
  <c r="AG13" i="29"/>
  <c r="AG15" i="29" s="1"/>
  <c r="AH31" i="3" s="1"/>
  <c r="AH51" i="3" s="1"/>
  <c r="AH54" i="3" s="1"/>
  <c r="AI54" i="3" s="1"/>
  <c r="AJ54" i="3" s="1"/>
  <c r="AK54" i="3" s="1"/>
  <c r="AL54" i="3" s="1"/>
  <c r="AM54" i="3" s="1"/>
  <c r="AN54" i="3" s="1"/>
  <c r="AO54" i="3" s="1"/>
  <c r="AP54" i="3" s="1"/>
  <c r="AQ54" i="3" s="1"/>
  <c r="AR54" i="3" s="1"/>
  <c r="AS54" i="3" s="1"/>
  <c r="AT54" i="3" s="1"/>
  <c r="AU54" i="3" s="1"/>
  <c r="AV54" i="3" s="1"/>
  <c r="AW54" i="3" s="1"/>
  <c r="AX54" i="3" s="1"/>
  <c r="AY54" i="3" s="1"/>
  <c r="AZ54" i="3" s="1"/>
  <c r="BA54" i="3" s="1"/>
  <c r="BB54" i="3" s="1"/>
  <c r="AF24" i="41"/>
  <c r="AF37" i="41"/>
  <c r="B31" i="41"/>
  <c r="AH33" i="3" l="1"/>
  <c r="E37" i="3" s="1"/>
  <c r="AH55" i="3"/>
  <c r="E39" i="3" l="1"/>
  <c r="E38" i="3"/>
  <c r="F38" i="3" s="1"/>
  <c r="AI55" i="3"/>
  <c r="AJ55" i="3" l="1"/>
  <c r="AK55" i="3" l="1"/>
  <c r="AL55" i="3" l="1"/>
  <c r="AM55" i="3" l="1"/>
  <c r="AN55" i="3" l="1"/>
  <c r="AO55" i="3" l="1"/>
  <c r="AP55" i="3" l="1"/>
  <c r="AQ55" i="3" l="1"/>
  <c r="AR55" i="3" l="1"/>
  <c r="AS55" i="3" l="1"/>
  <c r="AT55" i="3" l="1"/>
  <c r="AU55" i="3" l="1"/>
  <c r="AV55" i="3" l="1"/>
  <c r="AW55" i="3" l="1"/>
  <c r="D57" i="3" s="1"/>
  <c r="AX55" i="3" l="1"/>
  <c r="AY55" i="3" l="1"/>
  <c r="AZ55" i="3" l="1"/>
  <c r="BA55" i="3" l="1"/>
  <c r="BB55" i="3"/>
</calcChain>
</file>

<file path=xl/comments1.xml><?xml version="1.0" encoding="utf-8"?>
<comments xmlns="http://schemas.openxmlformats.org/spreadsheetml/2006/main">
  <authors>
    <author>Alvaro Perez Gelves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 xml:space="preserve">lista de equipos especiales
sist de control
</t>
        </r>
      </text>
    </comment>
    <comment ref="A46" authorId="0">
      <text>
        <r>
          <rPr>
            <b/>
            <sz val="9"/>
            <color indexed="81"/>
            <rFont val="Tahoma"/>
            <family val="2"/>
          </rPr>
          <t xml:space="preserve">edificio
</t>
        </r>
      </text>
    </comment>
    <comment ref="A54" authorId="0">
      <text>
        <r>
          <rPr>
            <b/>
            <sz val="9"/>
            <color indexed="81"/>
            <rFont val="Tahoma"/>
            <family val="2"/>
          </rPr>
          <t>criterios de calculos delos improvistos</t>
        </r>
      </text>
    </comment>
  </commentList>
</comments>
</file>

<file path=xl/comments2.xml><?xml version="1.0" encoding="utf-8"?>
<comments xmlns="http://schemas.openxmlformats.org/spreadsheetml/2006/main">
  <authors>
    <author>Alvaro Perez Gelves</author>
    <author>ÁLVARO PÉREZ GELVES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Se supone que el predio hace parte de los activos de la CIA.
</t>
        </r>
      </text>
    </comment>
    <comment ref="A5" authorId="1">
      <text>
        <r>
          <rPr>
            <b/>
            <sz val="9"/>
            <color indexed="81"/>
            <rFont val="Tahoma"/>
            <family val="2"/>
          </rPr>
          <t>ÁLVARO PÉREZ GELVES:</t>
        </r>
        <r>
          <rPr>
            <sz val="9"/>
            <color indexed="81"/>
            <rFont val="Tahoma"/>
            <family val="2"/>
          </rPr>
          <t xml:space="preserve">
VRN Valor de reposición a nuevo</t>
        </r>
      </text>
    </comment>
    <comment ref="O5" authorId="1">
      <text>
        <r>
          <rPr>
            <sz val="9"/>
            <color indexed="81"/>
            <rFont val="Tahoma"/>
            <family val="2"/>
          </rPr>
          <t>VRN según CREG011 Vida útil 30 años</t>
        </r>
      </text>
    </comment>
    <comment ref="A33" authorId="1">
      <text>
        <r>
          <rPr>
            <sz val="9"/>
            <color indexed="81"/>
            <rFont val="Tahoma"/>
            <family val="2"/>
          </rPr>
          <t xml:space="preserve">OPERACIÓN y MANTENIMIENTO
</t>
        </r>
      </text>
    </comment>
  </commentList>
</comments>
</file>

<file path=xl/comments3.xml><?xml version="1.0" encoding="utf-8"?>
<comments xmlns="http://schemas.openxmlformats.org/spreadsheetml/2006/main">
  <authors>
    <author>ecarrasquilla</author>
    <author>Alvaro Perez Gelves</author>
    <author>ÁLVARO PÉREZ GELVES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El edificio debería permanecer con costos similares.</t>
        </r>
      </text>
    </comment>
    <comment ref="E4" authorId="1">
      <text>
        <r>
          <rPr>
            <sz val="9"/>
            <color indexed="81"/>
            <rFont val="Tahoma"/>
            <family val="2"/>
          </rPr>
          <t xml:space="preserve">Se supone que el predio hace parte de los activos de la CIA.
</t>
        </r>
      </text>
    </comment>
    <comment ref="A5" authorId="2">
      <text>
        <r>
          <rPr>
            <sz val="9"/>
            <color indexed="81"/>
            <rFont val="Tahoma"/>
            <family val="2"/>
          </rPr>
          <t>VRN Valor de reposición a nuevo</t>
        </r>
      </text>
    </comment>
    <comment ref="O5" authorId="2">
      <text>
        <r>
          <rPr>
            <b/>
            <sz val="9"/>
            <color indexed="81"/>
            <rFont val="Tahoma"/>
            <family val="2"/>
          </rPr>
          <t>ÁLVARO PÉREZ GELVES:</t>
        </r>
        <r>
          <rPr>
            <sz val="9"/>
            <color indexed="81"/>
            <rFont val="Tahoma"/>
            <family val="2"/>
          </rPr>
          <t xml:space="preserve">
VRN según CREG011 Vida útil 30 años</t>
        </r>
      </text>
    </comment>
    <comment ref="A33" authorId="2">
      <text>
        <r>
          <rPr>
            <sz val="9"/>
            <color indexed="81"/>
            <rFont val="Tahoma"/>
            <family val="2"/>
          </rPr>
          <t xml:space="preserve">OPERACIÓN y MANTENIMIENTO
</t>
        </r>
      </text>
    </comment>
  </commentList>
</comments>
</file>

<file path=xl/comments4.xml><?xml version="1.0" encoding="utf-8"?>
<comments xmlns="http://schemas.openxmlformats.org/spreadsheetml/2006/main">
  <authors>
    <author>Eduardo Carrasquilla Franco</author>
  </authors>
  <commentList>
    <comment ref="Q17" authorId="0">
      <text>
        <r>
          <rPr>
            <b/>
            <sz val="9"/>
            <color indexed="81"/>
            <rFont val="Tahoma"/>
            <family val="2"/>
          </rPr>
          <t>Desde este año comienza el credito para el nuevo reemplazo.</t>
        </r>
      </text>
    </comment>
  </commentList>
</comments>
</file>

<file path=xl/comments5.xml><?xml version="1.0" encoding="utf-8"?>
<comments xmlns="http://schemas.openxmlformats.org/spreadsheetml/2006/main">
  <authors>
    <author>Alvaro Perez Gelves</author>
    <author>ÁLVARO PÉREZ GELVES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Se supone que el predio hace parte de los activos de la CIA.
</t>
        </r>
      </text>
    </comment>
    <comment ref="A5" authorId="1">
      <text>
        <r>
          <rPr>
            <b/>
            <sz val="9"/>
            <color indexed="81"/>
            <rFont val="Tahoma"/>
            <family val="2"/>
          </rPr>
          <t>ÁLVARO PÉREZ GELVES:</t>
        </r>
        <r>
          <rPr>
            <sz val="9"/>
            <color indexed="81"/>
            <rFont val="Tahoma"/>
            <family val="2"/>
          </rPr>
          <t xml:space="preserve">
VRN Valor de reposición a nuevo</t>
        </r>
      </text>
    </comment>
    <comment ref="O5" authorId="1">
      <text>
        <r>
          <rPr>
            <b/>
            <sz val="9"/>
            <color indexed="81"/>
            <rFont val="Tahoma"/>
            <family val="2"/>
          </rPr>
          <t>ÁLVARO PÉREZ GELVES:</t>
        </r>
        <r>
          <rPr>
            <sz val="9"/>
            <color indexed="81"/>
            <rFont val="Tahoma"/>
            <family val="2"/>
          </rPr>
          <t xml:space="preserve">
VRN según CREG011 Vida útil 30 años</t>
        </r>
      </text>
    </comment>
    <comment ref="A33" authorId="1">
      <text>
        <r>
          <rPr>
            <sz val="9"/>
            <color indexed="81"/>
            <rFont val="Tahoma"/>
            <family val="2"/>
          </rPr>
          <t xml:space="preserve">OPERACIÓN y MANTENIMIENTO
</t>
        </r>
      </text>
    </comment>
  </commentList>
</comments>
</file>

<file path=xl/comments6.xml><?xml version="1.0" encoding="utf-8"?>
<comments xmlns="http://schemas.openxmlformats.org/spreadsheetml/2006/main">
  <authors>
    <author>Eduardo Carrasquilla Franco</author>
  </authors>
  <commentList>
    <comment ref="Q17" authorId="0">
      <text>
        <r>
          <rPr>
            <b/>
            <sz val="9"/>
            <color indexed="81"/>
            <rFont val="Tahoma"/>
            <family val="2"/>
          </rPr>
          <t>Desde este año comienza el credito para el nuevo reemplazo.</t>
        </r>
      </text>
    </comment>
  </commentList>
</comments>
</file>

<file path=xl/comments7.xml><?xml version="1.0" encoding="utf-8"?>
<comments xmlns="http://schemas.openxmlformats.org/spreadsheetml/2006/main">
  <authors>
    <author>Alvaro Perez Gelves</author>
    <author>Eduardo Carrasquilla Franco</author>
  </authors>
  <commentList>
    <comment ref="C21" authorId="0">
      <text>
        <r>
          <rPr>
            <b/>
            <sz val="9"/>
            <color indexed="81"/>
            <rFont val="Tahoma"/>
            <family val="2"/>
          </rPr>
          <t>Alvaro Perez Gelves:</t>
        </r>
        <r>
          <rPr>
            <sz val="9"/>
            <color indexed="81"/>
            <rFont val="Tahoma"/>
            <family val="2"/>
          </rPr>
          <t xml:space="preserve">
33%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Amortización Diferidos NO operativos</t>
        </r>
      </text>
    </comment>
    <comment ref="C28" authorId="1">
      <text>
        <r>
          <rPr>
            <b/>
            <sz val="9"/>
            <color indexed="81"/>
            <rFont val="Tahoma"/>
            <family val="2"/>
          </rPr>
          <t>Eduardo Carrasquilla Franco:</t>
        </r>
        <r>
          <rPr>
            <sz val="9"/>
            <color indexed="81"/>
            <rFont val="Tahoma"/>
            <family val="2"/>
          </rPr>
          <t xml:space="preserve">
Como funciona la variación de capital?</t>
        </r>
      </text>
    </comment>
    <comment ref="A36" authorId="0">
      <text>
        <r>
          <rPr>
            <sz val="14"/>
            <color indexed="81"/>
            <rFont val="Tahoma"/>
            <family val="2"/>
          </rPr>
          <t>0 = Mantiene la UC
1 = Cambia la UC
2 = Renueva la UC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Alvaro Perez Gelves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 xml:space="preserve">lista de equipos especiales
sist de control
</t>
        </r>
      </text>
    </comment>
    <comment ref="A46" authorId="0">
      <text>
        <r>
          <rPr>
            <b/>
            <sz val="9"/>
            <color indexed="81"/>
            <rFont val="Tahoma"/>
            <family val="2"/>
          </rPr>
          <t xml:space="preserve">edificio
</t>
        </r>
      </text>
    </comment>
    <comment ref="A54" authorId="0">
      <text>
        <r>
          <rPr>
            <b/>
            <sz val="9"/>
            <color indexed="81"/>
            <rFont val="Tahoma"/>
            <family val="2"/>
          </rPr>
          <t>criterios de calculos delos improvistos</t>
        </r>
      </text>
    </comment>
  </commentList>
</comments>
</file>

<file path=xl/sharedStrings.xml><?xml version="1.0" encoding="utf-8"?>
<sst xmlns="http://schemas.openxmlformats.org/spreadsheetml/2006/main" count="1169" uniqueCount="751">
  <si>
    <t>Porcentaje</t>
  </si>
  <si>
    <t>Valor</t>
  </si>
  <si>
    <t>Plazo (años)</t>
  </si>
  <si>
    <t>+</t>
  </si>
  <si>
    <t>-</t>
  </si>
  <si>
    <t>Operativo</t>
  </si>
  <si>
    <t>Depreciacion operativa</t>
  </si>
  <si>
    <t>=</t>
  </si>
  <si>
    <t>UTILIDAD BRUTA</t>
  </si>
  <si>
    <t>Gastos de administración</t>
  </si>
  <si>
    <t>Administración</t>
  </si>
  <si>
    <t>Amortización administración;distribución;ventas</t>
  </si>
  <si>
    <t>UTILIDAD OPERATIVA</t>
  </si>
  <si>
    <t>Ingresos no operacionales</t>
  </si>
  <si>
    <t>Egresos no operacionales</t>
  </si>
  <si>
    <t>Utilidad antes de intereses e impuestos - UAII</t>
  </si>
  <si>
    <t>Valor en libros de los activos vendidos</t>
  </si>
  <si>
    <t>Financiero</t>
  </si>
  <si>
    <t>Utilidad antes de impuestos UAI</t>
  </si>
  <si>
    <t>Impuestos</t>
  </si>
  <si>
    <t>Impositiva</t>
  </si>
  <si>
    <t>Recuperación del capital de trabajo</t>
  </si>
  <si>
    <t>Flujo de caja del proyecto</t>
  </si>
  <si>
    <t>Cuota</t>
  </si>
  <si>
    <t>FLUJO DE CAJA DEL PROYECTO</t>
  </si>
  <si>
    <t>VPN</t>
  </si>
  <si>
    <t>TIR</t>
  </si>
  <si>
    <t>TIO</t>
  </si>
  <si>
    <t>Inversiones</t>
  </si>
  <si>
    <t>Egresos</t>
  </si>
  <si>
    <t>Edificio</t>
  </si>
  <si>
    <t>Valor en libros</t>
  </si>
  <si>
    <t xml:space="preserve">Salvamento </t>
  </si>
  <si>
    <t>Terreno</t>
  </si>
  <si>
    <t>año</t>
  </si>
  <si>
    <t>Utilidad/Perdida</t>
  </si>
  <si>
    <t>Impuesto 33%</t>
  </si>
  <si>
    <t>Valor Liquidación</t>
  </si>
  <si>
    <t>SUMA</t>
  </si>
  <si>
    <t>TIRM</t>
  </si>
  <si>
    <t>TRM</t>
  </si>
  <si>
    <t>DEPRECIACION LINEA RECTA</t>
  </si>
  <si>
    <t>SUBESTACIONES</t>
  </si>
  <si>
    <t>Bienes</t>
  </si>
  <si>
    <t>Transformadores</t>
  </si>
  <si>
    <t>Reactores</t>
  </si>
  <si>
    <t>Interruptores</t>
  </si>
  <si>
    <t>Seccionadores</t>
  </si>
  <si>
    <t>Transformador de corriente</t>
  </si>
  <si>
    <t>Transformador de tensión</t>
  </si>
  <si>
    <t>Descargador de sobretensión</t>
  </si>
  <si>
    <t>Sistemas de protección, control y medida</t>
  </si>
  <si>
    <t>Servicios auxiliares</t>
  </si>
  <si>
    <t>Estructuras</t>
  </si>
  <si>
    <t>Cables</t>
  </si>
  <si>
    <t>Servicios</t>
  </si>
  <si>
    <t>Obra civil</t>
  </si>
  <si>
    <t>Montaje</t>
  </si>
  <si>
    <t>Abastecimiento</t>
  </si>
  <si>
    <t>Asesores legal, financiero, tributario</t>
  </si>
  <si>
    <t>Diseño</t>
  </si>
  <si>
    <t>Ingeniería en campo</t>
  </si>
  <si>
    <t>Pólizas, seguros e impuestos indirectos</t>
  </si>
  <si>
    <t>Imprevistos</t>
  </si>
  <si>
    <t>Utilidad</t>
  </si>
  <si>
    <t>Licenciamiento</t>
  </si>
  <si>
    <t>Predios</t>
  </si>
  <si>
    <t>Costos de conexión</t>
  </si>
  <si>
    <t>Estudios de terceros</t>
  </si>
  <si>
    <t>Interventoría externa</t>
  </si>
  <si>
    <t>Inventario</t>
  </si>
  <si>
    <t xml:space="preserve">Utilidad </t>
  </si>
  <si>
    <t>AÑOS</t>
  </si>
  <si>
    <t>E.A</t>
  </si>
  <si>
    <t xml:space="preserve">Saldo </t>
  </si>
  <si>
    <t>Abono</t>
  </si>
  <si>
    <t xml:space="preserve">SEMESTRES  </t>
  </si>
  <si>
    <t>Impuesto de renta</t>
  </si>
  <si>
    <t xml:space="preserve">Anual </t>
  </si>
  <si>
    <t xml:space="preserve">Forma de pago </t>
  </si>
  <si>
    <t>% EQUITY</t>
  </si>
  <si>
    <t>Plazo</t>
  </si>
  <si>
    <t>% DEUDA</t>
  </si>
  <si>
    <t>Tasa de interes (E.A)</t>
  </si>
  <si>
    <t>ESTRUCTURA DE K</t>
  </si>
  <si>
    <t>CAPEX PROYECTO UNIDAD CONSTRUCTIVA</t>
  </si>
  <si>
    <t>OPEX</t>
  </si>
  <si>
    <t>Depreciacion y Amortización de diferidos Operativos</t>
  </si>
  <si>
    <t>-/+</t>
  </si>
  <si>
    <t>STN</t>
  </si>
  <si>
    <t>TN</t>
  </si>
  <si>
    <t>CREG</t>
  </si>
  <si>
    <t>Comisión de Regulación de Energía y Gas</t>
  </si>
  <si>
    <t>UC</t>
  </si>
  <si>
    <t>LCC</t>
  </si>
  <si>
    <t>AOM</t>
  </si>
  <si>
    <t>CAPEX</t>
  </si>
  <si>
    <t>CAE</t>
  </si>
  <si>
    <t>ABREVIATURAS</t>
  </si>
  <si>
    <t>O&amp;M</t>
  </si>
  <si>
    <t>CAE otro método</t>
  </si>
  <si>
    <t>CG</t>
  </si>
  <si>
    <t>TRM99</t>
  </si>
  <si>
    <t>AOM(2.5%VRN)</t>
  </si>
  <si>
    <t>CREG011 VRN2008</t>
  </si>
  <si>
    <t>ActNoElect5%</t>
  </si>
  <si>
    <t>Año/mes</t>
  </si>
  <si>
    <t>Enero</t>
  </si>
  <si>
    <t>Feb</t>
  </si>
  <si>
    <t>Mar</t>
  </si>
  <si>
    <t>Abril</t>
  </si>
  <si>
    <t>Mayo</t>
  </si>
  <si>
    <t>Junio</t>
  </si>
  <si>
    <t>Agosto</t>
  </si>
  <si>
    <t>Septi</t>
  </si>
  <si>
    <t>Octubre</t>
  </si>
  <si>
    <t>Nov</t>
  </si>
  <si>
    <t>Dic</t>
  </si>
  <si>
    <t>Compensaciones SVC CHINU</t>
  </si>
  <si>
    <t>Julio</t>
  </si>
  <si>
    <t>Compensación anual</t>
  </si>
  <si>
    <t>X</t>
  </si>
  <si>
    <t>AÑO</t>
  </si>
  <si>
    <t>Ingresos</t>
  </si>
  <si>
    <t>IPP</t>
  </si>
  <si>
    <t>IPC</t>
  </si>
  <si>
    <t>Ingreso total</t>
  </si>
  <si>
    <t>CREG026=48horas/año CREG011=15horas/año</t>
  </si>
  <si>
    <t>Descuentos por Compensación</t>
  </si>
  <si>
    <t xml:space="preserve"> </t>
  </si>
  <si>
    <t>Descripción</t>
  </si>
  <si>
    <t>Cantidad</t>
  </si>
  <si>
    <t>BIENES</t>
  </si>
  <si>
    <t>Caja de empalme fibras ópticas</t>
  </si>
  <si>
    <t>MATERIAL PARA INSTALACIÓN</t>
  </si>
  <si>
    <t>Barraje tubular y conectores</t>
  </si>
  <si>
    <t>Cable de aluminio</t>
  </si>
  <si>
    <t>Cable de fuerza y control</t>
  </si>
  <si>
    <t>Canaletas para protección de fibra óptica</t>
  </si>
  <si>
    <t>EQUIPOS SECUNDARIOS</t>
  </si>
  <si>
    <t>Sistema de control y protección redundante con licencias de software</t>
  </si>
  <si>
    <t>Sistema registro de fallas con licencias de software</t>
  </si>
  <si>
    <t>Sistema GPS y sincronización</t>
  </si>
  <si>
    <t>HMI local (caseta) y remoto (sala de control) con licencias de software</t>
  </si>
  <si>
    <t>SERVICIOS</t>
  </si>
  <si>
    <t>Obras civiles</t>
  </si>
  <si>
    <t>Desmontaje de equipos primarios y disposición final</t>
  </si>
  <si>
    <t>Entrenamiento para ingenieros en fábrica</t>
  </si>
  <si>
    <t>Precio Unitaro</t>
  </si>
  <si>
    <t>Precio Total</t>
  </si>
  <si>
    <t>Adquisición de señales de patio</t>
  </si>
  <si>
    <t xml:space="preserve">Computador portatil con respectivas licencias de software para mantenimiento </t>
  </si>
  <si>
    <t>Interfaz con señales y comandos a equipos de patio 500kV &amp; 11KV</t>
  </si>
  <si>
    <t>Sistema de enfriamiento para válvulas de tiristores</t>
  </si>
  <si>
    <t>Entrenamiento para operadores e ingenieros</t>
  </si>
  <si>
    <t>REPUESTOS</t>
  </si>
  <si>
    <t>ADMINISTRACION DEL PROYECTO</t>
  </si>
  <si>
    <t>Project Management</t>
  </si>
  <si>
    <t>Set de Aisladores</t>
  </si>
  <si>
    <t>TOTAL en USD</t>
  </si>
  <si>
    <t>ED 01</t>
  </si>
  <si>
    <t>Portería</t>
  </si>
  <si>
    <t>ED 06</t>
  </si>
  <si>
    <t>ED 07</t>
  </si>
  <si>
    <t>Bodega de repuestos</t>
  </si>
  <si>
    <t>ED 08</t>
  </si>
  <si>
    <t>ED 09</t>
  </si>
  <si>
    <t>ED 10</t>
  </si>
  <si>
    <t>Otras construcciones o edificios</t>
  </si>
  <si>
    <t>Andenes</t>
  </si>
  <si>
    <t>Vía en concreto</t>
  </si>
  <si>
    <t>Terrenos</t>
  </si>
  <si>
    <t>Bordillos en vía (580,39*$40,000)</t>
  </si>
  <si>
    <t>Puertas de acceso a patios doble hoja (son 2)</t>
  </si>
  <si>
    <t>Zonas verdes</t>
  </si>
  <si>
    <t>III</t>
  </si>
  <si>
    <t>RESTO DEL LOTE 1</t>
  </si>
  <si>
    <t>Construcciones o edificaciones para el servicio</t>
  </si>
  <si>
    <t>ED 11</t>
  </si>
  <si>
    <t>Planta de tratamiento de aguas (Bombas)</t>
  </si>
  <si>
    <t>ED 13</t>
  </si>
  <si>
    <t>Edificación para reciclaje y basuras (nueva)</t>
  </si>
  <si>
    <t>Garitas: 3 * $665,800</t>
  </si>
  <si>
    <t>OC 05</t>
  </si>
  <si>
    <t>OC 06</t>
  </si>
  <si>
    <t>Tanque elevado para agua</t>
  </si>
  <si>
    <t>OC 07</t>
  </si>
  <si>
    <t>Escaleras</t>
  </si>
  <si>
    <t>Parqueadero descubierto</t>
  </si>
  <si>
    <t>Canal: 180.90 ml * $300,000</t>
  </si>
  <si>
    <t>Cuneta: 20,93 ml * $70,000</t>
  </si>
  <si>
    <t xml:space="preserve">Bordillos en vía: 675,22 ml * $40,000 </t>
  </si>
  <si>
    <t>Puertas de acceso a la subestación:  (2 hojas)</t>
  </si>
  <si>
    <t>Cerca de alambre de púas: 559,57 m * $70,000</t>
  </si>
  <si>
    <t>Zona Verde</t>
  </si>
  <si>
    <t>Total  lote 1</t>
  </si>
  <si>
    <t>m°2</t>
  </si>
  <si>
    <t>$/M°2 año 2012</t>
  </si>
  <si>
    <t>Valor Avaluo 2012</t>
  </si>
  <si>
    <t>Terreno+edificio:</t>
  </si>
  <si>
    <t>Disponibilidad (%)</t>
  </si>
  <si>
    <t>CREG026(48h)=</t>
  </si>
  <si>
    <t>CREG011(15h)=</t>
  </si>
  <si>
    <t>Cumple con CREG026</t>
  </si>
  <si>
    <t>Cumple con CREG011</t>
  </si>
  <si>
    <t>VRN99+costos unitarios de instalación 180%</t>
  </si>
  <si>
    <t>VRN SVC COP 1999</t>
  </si>
  <si>
    <t>Hida</t>
  </si>
  <si>
    <t>MHAIA</t>
  </si>
  <si>
    <t>THCm-1</t>
  </si>
  <si>
    <t>HC</t>
  </si>
  <si>
    <t>HM</t>
  </si>
  <si>
    <t>Z</t>
  </si>
  <si>
    <t>Horas Anuales</t>
  </si>
  <si>
    <t>Horas de indisponibilidad anual</t>
  </si>
  <si>
    <t>Desviación estandar</t>
  </si>
  <si>
    <t>Normal</t>
  </si>
  <si>
    <t>Aumento de indisponibilidad</t>
  </si>
  <si>
    <t>Inversión</t>
  </si>
  <si>
    <t>Costos de operación</t>
  </si>
  <si>
    <t>M3 logìstica</t>
  </si>
  <si>
    <t>M3 logística</t>
  </si>
  <si>
    <t>Max indisponibilidad anual</t>
  </si>
  <si>
    <t>Indisponibilidad max</t>
  </si>
  <si>
    <t>Indisponibilidad Max anual</t>
  </si>
  <si>
    <t>Valor hora de indisponibilidad</t>
  </si>
  <si>
    <t>$ Indisponibilidad</t>
  </si>
  <si>
    <t>Horas cobradas</t>
  </si>
  <si>
    <t>MEDIA</t>
  </si>
  <si>
    <t>DESVIACIÓN ESTÁNDAR</t>
  </si>
  <si>
    <t>PROBABILIDAD</t>
  </si>
  <si>
    <t>Created By Version</t>
  </si>
  <si>
    <t>6.1.2</t>
  </si>
  <si>
    <t>Required Version</t>
  </si>
  <si>
    <t>5.0.0</t>
  </si>
  <si>
    <t>Recommended Version</t>
  </si>
  <si>
    <t>Modified By Version</t>
  </si>
  <si>
    <t>Count</t>
  </si>
  <si>
    <t>GUID</t>
  </si>
  <si>
    <t>Name</t>
  </si>
  <si>
    <t>Range</t>
  </si>
  <si>
    <t>CRC</t>
  </si>
  <si>
    <t>Options</t>
  </si>
  <si>
    <t>Comp. Graph Serialization</t>
  </si>
  <si>
    <t>PP Graph Serialization</t>
  </si>
  <si>
    <t>QQ Graph Serialization</t>
  </si>
  <si>
    <t>Unsued</t>
  </si>
  <si>
    <t>Fixed Params</t>
  </si>
  <si>
    <t>Bootstrap Options</t>
  </si>
  <si>
    <t>BootstrapParamGraphSerialization</t>
  </si>
  <si>
    <t>BatchFit Options</t>
  </si>
  <si>
    <t>BootstrapGOFGraphSerialization</t>
  </si>
  <si>
    <t>FitSelector</t>
  </si>
  <si>
    <t>FIT_36F74_F2C76</t>
  </si>
  <si>
    <t>Conjunto 1</t>
  </si>
  <si>
    <t>F1	0	0	-1E+300	 1E+300	 1	0	0	 0	0	 1	23	BetaGeneral	Binomial	Expon	ExtValue	ExtValueMin	Gamma	Geomet	IntUniform	InvGauss	Laplace	Levy	Logistic	LogLogistic	Lognorm	NegBin	Normal	Pareto	Pearson5	Pearson6	Poisson	Triang	Uniform	Weibull	0	1	-1	1	 0	 1	0	0	0</t>
  </si>
  <si>
    <t xml:space="preserve"> 0	 8								</t>
  </si>
  <si>
    <t>F1	0	 1000	 .95</t>
  </si>
  <si>
    <t>GF1_rK0qDwEADADAAQwjACYANACIAJwAnQCpALUAmgG8AbYBKgD//wAAAAAAAQQAAAAAAAAAAAEmQ29tcGFyYWNpw7NuIGRlIGFqdXN0ZSBwYXJhIENvbmp1bnRvIDEBKFJpc2tFeHBvbigwLDAwNDc3OTE7Umlza1NoaWZ0KDAsOTkxMDI5KSkBARAAAgABClN0YXRpc3RpY3MDAQEA/wEBAQEBAAEBAQACAAEBAQEBAAEBAQACAArUAAHkAADyAAAHAQAcAQAxAQBGAQBbAQBwAQCFAQAOAAdFbnRyYWRhAAAlAQIADAAFRXhwb24AAS8BAgATAAxVbnVzZWQgQ3VydmUAAk8BAgATAAxVbnVzZWQgQ3VydmUAA4wBAgATAAxVbnVzZWQgQ3VydmUABEwBAgATAAxVbnVzZWQgQ3VydmUABTkBAgATAAxVbnVzZWQgQ3VydmUABk4BAgATAAxVbnVzZWQgQ3VydmUAByMBAgATAAxVbnVzZWQgQ3VydmUACCkBAgATAAxVbnVzZWQgQ3VydmUACWABAgCiAawBAQECAZqZmZmZmak/AABmZmZmZmbuPwAABQABAQEAAQEBAA==</t>
  </si>
  <si>
    <t>FIT_AE6D0_8C8CD</t>
  </si>
  <si>
    <t>Conjunto 2</t>
  </si>
  <si>
    <t>GF1_rK0qDwEADADAAQwjACYANACIAJwAnQCpALUAmgG8AbYBKgD//wAAAAAAAQQAAAAAAAAAAAEmQ29tcGFyYWNpw7NuIGRlIGFqdXN0ZSBwYXJhIENvbmp1bnRvIDIBKFJpc2tFeHBvbigwLDAwNDcwODc7Umlza1NoaWZ0KDAsOTkxMDYzKSkBARAAAgABClN0YXRpc3RpY3MDAQEA/wEBAQEBAAEBAQACAAEBAQEBAAEBAQACAArUAAHkAADyAAAHAQAcAQAxAQBGAQBbAQBwAQCFAQAOAAdFbnRyYWRhAAAlAQIADAAFRXhwb24AAS8BAgATAAxVbnVzZWQgQ3VydmUAAk8BAgATAAxVbnVzZWQgQ3VydmUAA4wBAgATAAxVbnVzZWQgQ3VydmUABEwBAgATAAxVbnVzZWQgQ3VydmUABTkBAgATAAxVbnVzZWQgQ3VydmUABk4BAgATAAxVbnVzZWQgQ3VydmUAByMBAgATAAxVbnVzZWQgQ3VydmUACCkBAgATAAxVbnVzZWQgQ3VydmUACWABAgCiAawBAQECAZqZmZmZmak/AABmZmZmZmbuPwAABQABAQEAAQEBAA==</t>
  </si>
  <si>
    <t>VA (FLUJOS)</t>
  </si>
  <si>
    <t>Menor CAE</t>
  </si>
  <si>
    <t>Clasificación de los datos</t>
  </si>
  <si>
    <t>Dato 1</t>
  </si>
  <si>
    <t>Dato 2</t>
  </si>
  <si>
    <t>Dato 3</t>
  </si>
  <si>
    <t>Dato 4</t>
  </si>
  <si>
    <t>Dato 5</t>
  </si>
  <si>
    <t>Dato 6</t>
  </si>
  <si>
    <t>Dato 7</t>
  </si>
  <si>
    <t>Dato 8</t>
  </si>
  <si>
    <t>Dato 9</t>
  </si>
  <si>
    <t>Dato 10</t>
  </si>
  <si>
    <t>Dato 11</t>
  </si>
  <si>
    <t>Dato 12</t>
  </si>
  <si>
    <t>Dato 13</t>
  </si>
  <si>
    <t>Dato 14</t>
  </si>
  <si>
    <t>Dato 15</t>
  </si>
  <si>
    <t>Dato 16</t>
  </si>
  <si>
    <t>Dato 17</t>
  </si>
  <si>
    <t>Dato 18</t>
  </si>
  <si>
    <t>Dato 19</t>
  </si>
  <si>
    <t>Dato 20</t>
  </si>
  <si>
    <t>Dato 21</t>
  </si>
  <si>
    <t>Dato 22</t>
  </si>
  <si>
    <t>Dato 23</t>
  </si>
  <si>
    <t>Dato 24</t>
  </si>
  <si>
    <t>Dato 25</t>
  </si>
  <si>
    <t>Dato 26</t>
  </si>
  <si>
    <t>Dato 27</t>
  </si>
  <si>
    <t>Dato 28</t>
  </si>
  <si>
    <t>Dato 29</t>
  </si>
  <si>
    <t>Dato 30</t>
  </si>
  <si>
    <t>Dato 31</t>
  </si>
  <si>
    <t>Dato 32</t>
  </si>
  <si>
    <t>Dato 33</t>
  </si>
  <si>
    <t>Dato 34</t>
  </si>
  <si>
    <t>Dato 35</t>
  </si>
  <si>
    <t>Dato 36</t>
  </si>
  <si>
    <t>Dato 37</t>
  </si>
  <si>
    <t>Dato 38</t>
  </si>
  <si>
    <t>Dato 39</t>
  </si>
  <si>
    <t>Dato 40</t>
  </si>
  <si>
    <t>Dato 41</t>
  </si>
  <si>
    <t>Dato 42</t>
  </si>
  <si>
    <t>Dato 43</t>
  </si>
  <si>
    <t>Dato 44</t>
  </si>
  <si>
    <t>Dato 45</t>
  </si>
  <si>
    <t>Dato 46</t>
  </si>
  <si>
    <t>Dato 47</t>
  </si>
  <si>
    <t>Dato 48</t>
  </si>
  <si>
    <t>Dato 49</t>
  </si>
  <si>
    <t>Dato 50</t>
  </si>
  <si>
    <t>Dato 51</t>
  </si>
  <si>
    <t>Dato 52</t>
  </si>
  <si>
    <t>Dato 53</t>
  </si>
  <si>
    <t>Dato 54</t>
  </si>
  <si>
    <t>Dato 55</t>
  </si>
  <si>
    <t>Dato 56</t>
  </si>
  <si>
    <t>Dato 57</t>
  </si>
  <si>
    <t>Dato 58</t>
  </si>
  <si>
    <t>Dato 59</t>
  </si>
  <si>
    <t>Dato 60</t>
  </si>
  <si>
    <t>Dato 61</t>
  </si>
  <si>
    <t>Dato 62</t>
  </si>
  <si>
    <t>Dato 63</t>
  </si>
  <si>
    <t>Dato 64</t>
  </si>
  <si>
    <t>Dato 65</t>
  </si>
  <si>
    <t>Dato 66</t>
  </si>
  <si>
    <t>Dato 67</t>
  </si>
  <si>
    <t>Dato 68</t>
  </si>
  <si>
    <t>Dato 69</t>
  </si>
  <si>
    <t>Dato 70</t>
  </si>
  <si>
    <t>Dato 71</t>
  </si>
  <si>
    <t>Dato 72</t>
  </si>
  <si>
    <t>Dato 73</t>
  </si>
  <si>
    <t>Dato 74</t>
  </si>
  <si>
    <t>Dato 75</t>
  </si>
  <si>
    <t>Dato 76</t>
  </si>
  <si>
    <t>Dato 77</t>
  </si>
  <si>
    <t>Dato 78</t>
  </si>
  <si>
    <t>Dato 79</t>
  </si>
  <si>
    <t>Dato 80</t>
  </si>
  <si>
    <t>Dato 81</t>
  </si>
  <si>
    <t>Dato 82</t>
  </si>
  <si>
    <t>Dato 83</t>
  </si>
  <si>
    <t>Dato 84</t>
  </si>
  <si>
    <t>Dato 85</t>
  </si>
  <si>
    <t>Dato 86</t>
  </si>
  <si>
    <t>Dato 87</t>
  </si>
  <si>
    <t>Dato 88</t>
  </si>
  <si>
    <t>Dato 89</t>
  </si>
  <si>
    <t>Dato 90</t>
  </si>
  <si>
    <t>Dato 91</t>
  </si>
  <si>
    <t>Dato 92</t>
  </si>
  <si>
    <t>Dato 93</t>
  </si>
  <si>
    <t>Dato 94</t>
  </si>
  <si>
    <t>Dato 95</t>
  </si>
  <si>
    <t>Dato 96</t>
  </si>
  <si>
    <t>Dato 97</t>
  </si>
  <si>
    <t>Dato 98</t>
  </si>
  <si>
    <t>Dato 99</t>
  </si>
  <si>
    <t>Dato 100</t>
  </si>
  <si>
    <t>Dato 101</t>
  </si>
  <si>
    <t>Dato 102</t>
  </si>
  <si>
    <t>Dato 103</t>
  </si>
  <si>
    <t>Dato 104</t>
  </si>
  <si>
    <t>Dato 105</t>
  </si>
  <si>
    <t>Dato 106</t>
  </si>
  <si>
    <t>Dato 107</t>
  </si>
  <si>
    <t>Dato 108</t>
  </si>
  <si>
    <t>Dato 109</t>
  </si>
  <si>
    <t>Dato 110</t>
  </si>
  <si>
    <t>Dato 111</t>
  </si>
  <si>
    <t>Dato 112</t>
  </si>
  <si>
    <t>Dato 113</t>
  </si>
  <si>
    <t>Dato 114</t>
  </si>
  <si>
    <t>Dato 115</t>
  </si>
  <si>
    <t>Dato 116</t>
  </si>
  <si>
    <t>Dato 117</t>
  </si>
  <si>
    <t>Dato 118</t>
  </si>
  <si>
    <t>Dato 119</t>
  </si>
  <si>
    <t>Dato 120</t>
  </si>
  <si>
    <t>Dato 121</t>
  </si>
  <si>
    <t>Dato 122</t>
  </si>
  <si>
    <t>Dato 123</t>
  </si>
  <si>
    <t>Dato 124</t>
  </si>
  <si>
    <t>Dato 125</t>
  </si>
  <si>
    <t>Dato 126</t>
  </si>
  <si>
    <t>Dato 127</t>
  </si>
  <si>
    <t>Dato 128</t>
  </si>
  <si>
    <t>Dato 129</t>
  </si>
  <si>
    <t>Dato 130</t>
  </si>
  <si>
    <t>Dato 131</t>
  </si>
  <si>
    <t>Dato 132</t>
  </si>
  <si>
    <t>Dato 133</t>
  </si>
  <si>
    <t>Dato 134</t>
  </si>
  <si>
    <t>Dato 135</t>
  </si>
  <si>
    <t>Dato 136</t>
  </si>
  <si>
    <t>Dato 137</t>
  </si>
  <si>
    <t>Dato 138</t>
  </si>
  <si>
    <t>Dato 139</t>
  </si>
  <si>
    <t>Dato 140</t>
  </si>
  <si>
    <t>Dato 141</t>
  </si>
  <si>
    <t>Dato 142</t>
  </si>
  <si>
    <t>&gt;99,9</t>
  </si>
  <si>
    <t>&gt;99,2</t>
  </si>
  <si>
    <t>&gt;99,1</t>
  </si>
  <si>
    <t>&gt;99,8</t>
  </si>
  <si>
    <t>&gt;99,7</t>
  </si>
  <si>
    <t>&gt;99,6</t>
  </si>
  <si>
    <t>&gt;99,5</t>
  </si>
  <si>
    <t>&gt;99,4</t>
  </si>
  <si>
    <t>&gt;99,3</t>
  </si>
  <si>
    <t>C2</t>
  </si>
  <si>
    <t>C3</t>
  </si>
  <si>
    <t>C5</t>
  </si>
  <si>
    <t>C6</t>
  </si>
  <si>
    <t>C7</t>
  </si>
  <si>
    <t>C8</t>
  </si>
  <si>
    <t>C1</t>
  </si>
  <si>
    <t>C4</t>
  </si>
  <si>
    <t>C9</t>
  </si>
  <si>
    <t>C10</t>
  </si>
  <si>
    <t>Número de horas de indisponibilidad anuales</t>
  </si>
  <si>
    <t>Analisis de costos por horas de indisponibilidad</t>
  </si>
  <si>
    <t>Comparación</t>
  </si>
  <si>
    <t>Intereses</t>
  </si>
  <si>
    <t>Año 1999</t>
  </si>
  <si>
    <t>Año 2014</t>
  </si>
  <si>
    <t>Depreciación Inversión 1</t>
  </si>
  <si>
    <t>Depreciación Inversión 2</t>
  </si>
  <si>
    <t>Depreciación total</t>
  </si>
  <si>
    <t>VRN según CREG 11, pag 30.</t>
  </si>
  <si>
    <t>Tabla 7, UC de compensación para 500kV.</t>
  </si>
  <si>
    <t>Activo</t>
  </si>
  <si>
    <t>CP506</t>
  </si>
  <si>
    <t>Módulo de compensación estática reactiva.</t>
  </si>
  <si>
    <t>Valor ($/08)</t>
  </si>
  <si>
    <t>Valor ($/09)</t>
  </si>
  <si>
    <t>Valor ($/010)</t>
  </si>
  <si>
    <t>Valor ($/11)</t>
  </si>
  <si>
    <t>Valor ($/012)</t>
  </si>
  <si>
    <t>Valor ($/13)</t>
  </si>
  <si>
    <t>Valor ($/14)</t>
  </si>
  <si>
    <t>Valor ($/15)</t>
  </si>
  <si>
    <t>Valor ($/16)</t>
  </si>
  <si>
    <t>Valor ($/17)</t>
  </si>
  <si>
    <t>Valor ($/18)</t>
  </si>
  <si>
    <t>Valor ($/19)</t>
  </si>
  <si>
    <t>Valor ($/20)</t>
  </si>
  <si>
    <t>Valor ($/21)</t>
  </si>
  <si>
    <t>Valor ($/22)</t>
  </si>
  <si>
    <t>Valor ($/23)</t>
  </si>
  <si>
    <t>Valor ($/24)</t>
  </si>
  <si>
    <t>Valor ($/25)</t>
  </si>
  <si>
    <t>Valor ($/26)</t>
  </si>
  <si>
    <t>Valor ($/27)</t>
  </si>
  <si>
    <t>Valor ($/28)</t>
  </si>
  <si>
    <t>Valor ($/29)</t>
  </si>
  <si>
    <t>Valor ($/30)</t>
  </si>
  <si>
    <t>Valor ($/31)</t>
  </si>
  <si>
    <t>Valor ($/32)</t>
  </si>
  <si>
    <t>Valor ($/33)</t>
  </si>
  <si>
    <t>Valor ($/34)</t>
  </si>
  <si>
    <t>Valor ($/35)</t>
  </si>
  <si>
    <t>Valor ($/36)</t>
  </si>
  <si>
    <t>Valor ($/37)</t>
  </si>
  <si>
    <t>Valor ($/38)</t>
  </si>
  <si>
    <t>Valor ($/39)</t>
  </si>
  <si>
    <t>Valor ($/40)</t>
  </si>
  <si>
    <t>Valor ($/41)</t>
  </si>
  <si>
    <t>Valor ($/42)</t>
  </si>
  <si>
    <t>Valor ($/43)</t>
  </si>
  <si>
    <t>Valor ($/44)</t>
  </si>
  <si>
    <t>Valor ($/45)</t>
  </si>
  <si>
    <t>CREG26</t>
  </si>
  <si>
    <t>CREG11</t>
  </si>
  <si>
    <t>Anexo No.2 costos FOB de las unidades constructivas</t>
  </si>
  <si>
    <t>Factor de instalación</t>
  </si>
  <si>
    <t>VRN en USD 1997</t>
  </si>
  <si>
    <t>Valor ($/98)</t>
  </si>
  <si>
    <t>Valor ($/99)</t>
  </si>
  <si>
    <t>Valor ($/00)</t>
  </si>
  <si>
    <t>Valor ($/01)</t>
  </si>
  <si>
    <t>Valor ($/02)</t>
  </si>
  <si>
    <t>Valor ($/03)</t>
  </si>
  <si>
    <t>Valor ($/04)</t>
  </si>
  <si>
    <t>Valor ($/05)</t>
  </si>
  <si>
    <t>Valor ($/06)</t>
  </si>
  <si>
    <t>Valor ($/07)</t>
  </si>
  <si>
    <t>Valor ($/10)</t>
  </si>
  <si>
    <t>MES</t>
  </si>
  <si>
    <t>BASE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</si>
  <si>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</si>
  <si>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</si>
  <si>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</si>
  <si>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</si>
  <si>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</si>
  <si>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</si>
  <si>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</si>
  <si>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</si>
  <si>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</si>
  <si>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</si>
  <si>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</si>
  <si>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</si>
  <si>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ESTIMADO PPTO 2008</t>
  </si>
  <si>
    <t>REAL ACUMULADO</t>
  </si>
  <si>
    <t>USD</t>
  </si>
  <si>
    <t>Cotización del dólar</t>
  </si>
  <si>
    <t>1.3.6 Serie histórica empalmada de datos. Promedio anual</t>
  </si>
  <si>
    <t>Información disponible a partir de 1950</t>
  </si>
  <si>
    <t>Año</t>
  </si>
  <si>
    <t>Promedio anual</t>
  </si>
  <si>
    <t>$1.96</t>
  </si>
  <si>
    <t>$2.39</t>
  </si>
  <si>
    <t>$2.51</t>
  </si>
  <si>
    <t>$3.80</t>
  </si>
  <si>
    <t>$6.40</t>
  </si>
  <si>
    <t>$6.64</t>
  </si>
  <si>
    <t>$6.70</t>
  </si>
  <si>
    <t>$6.96</t>
  </si>
  <si>
    <t>$9.00</t>
  </si>
  <si>
    <t>$10.50</t>
  </si>
  <si>
    <t>$13.50</t>
  </si>
  <si>
    <t>$14.51</t>
  </si>
  <si>
    <t>$16.29</t>
  </si>
  <si>
    <t>$17.32</t>
  </si>
  <si>
    <t>$18.44</t>
  </si>
  <si>
    <t>$19.93</t>
  </si>
  <si>
    <t>$21.87</t>
  </si>
  <si>
    <t>$23.57</t>
  </si>
  <si>
    <t>$26.06</t>
  </si>
  <si>
    <t>$30.93</t>
  </si>
  <si>
    <t>$34.70</t>
  </si>
  <si>
    <t>$36.77</t>
  </si>
  <si>
    <t>$39.10</t>
  </si>
  <si>
    <t>$42.55</t>
  </si>
  <si>
    <t>$47.28</t>
  </si>
  <si>
    <t>$54.49</t>
  </si>
  <si>
    <t>$64.09</t>
  </si>
  <si>
    <t>$78.86</t>
  </si>
  <si>
    <t>$100.82</t>
  </si>
  <si>
    <t>$142.31</t>
  </si>
  <si>
    <t>$194.26</t>
  </si>
  <si>
    <t>$242.61</t>
  </si>
  <si>
    <t>$299.17</t>
  </si>
  <si>
    <t>$382.57</t>
  </si>
  <si>
    <t>$502.26</t>
  </si>
  <si>
    <t>$633.05</t>
  </si>
  <si>
    <t>$680.10</t>
  </si>
  <si>
    <t>$786.67</t>
  </si>
  <si>
    <t>$826.56</t>
  </si>
  <si>
    <t>$912.78</t>
  </si>
  <si>
    <t>$1,036.55</t>
  </si>
  <si>
    <t>$1,141.08</t>
  </si>
  <si>
    <t>$1,427.04</t>
  </si>
  <si>
    <t>$1,758.58</t>
  </si>
  <si>
    <t>$2,087.42</t>
  </si>
  <si>
    <t>$2,299.77</t>
  </si>
  <si>
    <t>$2,507.96</t>
  </si>
  <si>
    <t>$2,877.50</t>
  </si>
  <si>
    <t>$2,626.22</t>
  </si>
  <si>
    <t>$2,320.77</t>
  </si>
  <si>
    <t>$2,357.98</t>
  </si>
  <si>
    <t>$2,078.35</t>
  </si>
  <si>
    <t>$1,966.26</t>
  </si>
  <si>
    <t>$2,156.29</t>
  </si>
  <si>
    <t>$1,897.89</t>
  </si>
  <si>
    <t>$1,848.17</t>
  </si>
  <si>
    <t>$1,798.23</t>
  </si>
  <si>
    <t>Datos obtenidos de http://www.banrep.gov.co/es/series-estadisticas/see_ts_trm.htm</t>
  </si>
  <si>
    <t>Banco de la repubilica</t>
  </si>
  <si>
    <t>Serie de datos promedio anual</t>
  </si>
  <si>
    <r>
      <t>Utilidad/P</t>
    </r>
    <r>
      <rPr>
        <sz val="11"/>
        <color rgb="FF00B050"/>
        <rFont val="Calibri"/>
        <family val="2"/>
        <scheme val="minor"/>
      </rPr>
      <t>é</t>
    </r>
    <r>
      <rPr>
        <sz val="11"/>
        <color theme="1"/>
        <rFont val="Calibri"/>
        <family val="2"/>
        <scheme val="minor"/>
      </rPr>
      <t>rdida</t>
    </r>
  </si>
  <si>
    <r>
      <t>Fuente: La tasa de cambio en Colombia fue calculada por el Banco de la República hasta noviembre de 1980 (en aqu</t>
    </r>
    <r>
      <rPr>
        <b/>
        <sz val="10"/>
        <color rgb="FF00B050"/>
        <rFont val="Arial"/>
        <family val="2"/>
      </rPr>
      <t>e</t>
    </r>
    <r>
      <rPr>
        <b/>
        <sz val="10"/>
        <color theme="1"/>
        <rFont val="Arial"/>
        <family val="2"/>
      </rPr>
      <t>l entonces era conocida como la tasa de certificado de cambio). Luego, en acuerdo con la Junta Directiva del Banco de la República, a partir de diciembre de 1980, la tasa de cambio es calculada por la Superintendencia Financiera de Colombia.</t>
    </r>
  </si>
  <si>
    <t>Total del resto del lote 1</t>
  </si>
  <si>
    <t>Subtotal del patio eléctrico 1de 15 kv</t>
  </si>
  <si>
    <t>Total de patios eléctricos de 500 y 110kV</t>
  </si>
  <si>
    <r>
      <t>%</t>
    </r>
    <r>
      <rPr>
        <i/>
        <sz val="11"/>
        <color rgb="FF00B050"/>
        <rFont val="Calibri"/>
        <family val="2"/>
        <scheme val="minor"/>
      </rPr>
      <t xml:space="preserve"> EQUITY</t>
    </r>
  </si>
  <si>
    <r>
      <t xml:space="preserve">Modulo </t>
    </r>
    <r>
      <rPr>
        <sz val="11"/>
        <color rgb="FF00B050"/>
        <rFont val="Calibri"/>
        <family val="2"/>
        <scheme val="minor"/>
      </rPr>
      <t xml:space="preserve">de </t>
    </r>
    <r>
      <rPr>
        <sz val="11"/>
        <color theme="1"/>
        <rFont val="Calibri"/>
        <family val="2"/>
        <scheme val="minor"/>
      </rPr>
      <t>compensación estática reactiva</t>
    </r>
  </si>
  <si>
    <t>$</t>
  </si>
  <si>
    <r>
      <t xml:space="preserve">ESTRUCTURA DE </t>
    </r>
    <r>
      <rPr>
        <sz val="11"/>
        <color rgb="FF00B050"/>
        <rFont val="Calibri"/>
        <family val="2"/>
        <scheme val="minor"/>
      </rPr>
      <t>CAPITAL</t>
    </r>
  </si>
  <si>
    <r>
      <t xml:space="preserve">Valor </t>
    </r>
    <r>
      <rPr>
        <sz val="11"/>
        <color rgb="FF00B050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iquidación</t>
    </r>
  </si>
  <si>
    <t xml:space="preserve">Impuesto de Timbre,  impuesto ICA </t>
  </si>
  <si>
    <t>Información de inversión del proyecto DDP "Compensador estático 500kV"</t>
  </si>
  <si>
    <t>Equipos especiales</t>
  </si>
  <si>
    <t>Sistema de compensación</t>
  </si>
  <si>
    <t>Aisladores y material de conexión</t>
  </si>
  <si>
    <t>Sistemas de telecomunicaciones</t>
  </si>
  <si>
    <t>Equipos de media tensión</t>
  </si>
  <si>
    <t>Pruebas y puesta en servicio</t>
  </si>
  <si>
    <t>Administración e ingeniería</t>
  </si>
  <si>
    <t>Gerencia del proyecto</t>
  </si>
  <si>
    <t>Control deobra</t>
  </si>
  <si>
    <t>Administración de gestión ambiental y social</t>
  </si>
  <si>
    <t>Administración de gestión predial</t>
  </si>
  <si>
    <t>Costos financieros</t>
  </si>
  <si>
    <t>Gestión ambiental y social</t>
  </si>
  <si>
    <t>Diagnóstico ambiental :alternativas</t>
  </si>
  <si>
    <t>Estudio de impacto ambiental</t>
  </si>
  <si>
    <t>Plan de manejo ambiental</t>
  </si>
  <si>
    <t>Gestion social</t>
  </si>
  <si>
    <t>Costos de terceros</t>
  </si>
  <si>
    <t>Inventario del proyecto</t>
  </si>
  <si>
    <t>VRN según CREG 26, pág. 8.</t>
  </si>
  <si>
    <r>
      <t xml:space="preserve">Valor </t>
    </r>
    <r>
      <rPr>
        <i/>
        <sz val="11"/>
        <rFont val="Calibri"/>
        <family val="2"/>
        <scheme val="minor"/>
      </rPr>
      <t xml:space="preserve">FOB </t>
    </r>
    <r>
      <rPr>
        <sz val="11"/>
        <rFont val="Calibri"/>
        <family val="2"/>
        <scheme val="minor"/>
      </rPr>
      <t>1997 USD</t>
    </r>
  </si>
  <si>
    <t>Terreno más edificio:</t>
  </si>
  <si>
    <t>VRN SVC ($ de 1999)</t>
  </si>
  <si>
    <t>Pago de anualidad</t>
  </si>
  <si>
    <t>ActNoElectrico(5% de anualidad)</t>
  </si>
  <si>
    <t>AOM(CREG026=2,5%VRN; CREG011=3,14%VRN; VREF=3,09%)</t>
  </si>
  <si>
    <t>Terrenos (CREG026=7,6% ; CREG011=5,69%). Area típica 2500m°2</t>
  </si>
  <si>
    <t>Suma de ingresos ($ de 1999)</t>
  </si>
  <si>
    <t>Suma de ingresos corrientes ($ de cada año)</t>
  </si>
  <si>
    <t>Equipode subestación eléctrica (vida útil: 30 años): inversión inicial</t>
  </si>
  <si>
    <t>Equipo de subestación eléctrica (vida útil: 30 años): Abonos a capital</t>
  </si>
  <si>
    <t>Otras inversiones</t>
  </si>
  <si>
    <t>TOTAL DE INVERSIONES</t>
  </si>
  <si>
    <t>Promedio DE indisponibilidad</t>
  </si>
  <si>
    <t xml:space="preserve">Compensaciones o descuento del ingreso por calidad de energía. </t>
  </si>
  <si>
    <t>Factor acumulado de IPP</t>
  </si>
  <si>
    <t>Costos operacionales</t>
  </si>
  <si>
    <t>Costos variables (mantenimiento)</t>
  </si>
  <si>
    <t>Gastos fijos</t>
  </si>
  <si>
    <t>Avalúo catastral del año 2012</t>
  </si>
  <si>
    <r>
      <t xml:space="preserve">Área dl patio </t>
    </r>
    <r>
      <rPr>
        <i/>
        <sz val="11"/>
        <rFont val="Calibri"/>
        <family val="2"/>
        <scheme val="minor"/>
      </rPr>
      <t>SVC</t>
    </r>
    <r>
      <rPr>
        <sz val="11"/>
        <rFont val="Calibri"/>
        <family val="2"/>
        <scheme val="minor"/>
      </rPr>
      <t xml:space="preserve"> (m°2)</t>
    </r>
  </si>
  <si>
    <r>
      <t xml:space="preserve">Área del edificio de la ala de control </t>
    </r>
    <r>
      <rPr>
        <i/>
        <sz val="11"/>
        <rFont val="Calibri"/>
        <family val="2"/>
        <scheme val="minor"/>
      </rPr>
      <t>SVC</t>
    </r>
    <r>
      <rPr>
        <sz val="11"/>
        <rFont val="Calibri"/>
        <family val="2"/>
        <scheme val="minor"/>
      </rPr>
      <t xml:space="preserve"> (m°2)</t>
    </r>
  </si>
  <si>
    <t>Avalúo total (patio más edificio)</t>
  </si>
  <si>
    <t>ActNoElectrico(5%deanualidad)</t>
  </si>
  <si>
    <t>Terrenos 7,6% de área típica</t>
  </si>
  <si>
    <t>Suma de ingresos</t>
  </si>
  <si>
    <t>Pago  de anualidad</t>
  </si>
  <si>
    <t>AOM(3,14%VRN)</t>
  </si>
  <si>
    <t>Terrenos 5.69% del área típica</t>
  </si>
  <si>
    <t>Cerramiento malla de eslabonada (148,66*$170,000)</t>
  </si>
  <si>
    <t>Puertas de acceso a patios en doble hoja (son 2)</t>
  </si>
  <si>
    <t>Edificio de control y oficinas (dos pisos)</t>
  </si>
  <si>
    <t>Planta diesel auxiliar</t>
  </si>
  <si>
    <t>Biblioteca y oficinas</t>
  </si>
  <si>
    <t>Base militar (casa prefabricada)</t>
  </si>
  <si>
    <t>Planta de tratamiento de aguas (bombas)</t>
  </si>
  <si>
    <t>Depósito de material pétreo de planta de agua</t>
  </si>
  <si>
    <t>Base para tanque de ACPM.</t>
  </si>
  <si>
    <t>Puertas de acceso a la subestación:  (dos hojas)</t>
  </si>
  <si>
    <t>Cerramiento de malla eslabonada: 1,727.12*$170,000</t>
  </si>
  <si>
    <t>Zona verde</t>
  </si>
  <si>
    <t>Valor del avalúo 2012</t>
  </si>
  <si>
    <t>FINANCIACIÓN A</t>
  </si>
  <si>
    <t>DATOS DEL PRÉSTAMO</t>
  </si>
  <si>
    <t>Valor de Inversion</t>
  </si>
  <si>
    <t xml:space="preserve">Monto requerido para el proyecto </t>
  </si>
  <si>
    <t>Tasa de interés (EA)</t>
  </si>
  <si>
    <t>Períodos de gracia</t>
  </si>
  <si>
    <t>Período del crédito</t>
  </si>
  <si>
    <t xml:space="preserve">Estudio-Comisión-Apertura   </t>
  </si>
  <si>
    <t>TABLA DE AMORTIZACIÓN</t>
  </si>
  <si>
    <t>Interés</t>
  </si>
  <si>
    <t>Flujo bruto de caja</t>
  </si>
  <si>
    <t>Comisión de apertura</t>
  </si>
  <si>
    <t>Beneficio tibutario</t>
  </si>
  <si>
    <t>Flujo anual de caja</t>
  </si>
  <si>
    <t xml:space="preserve">Costo efectivo anual después de Impuestos </t>
  </si>
  <si>
    <t>FLUJO DE CAJA DE FINANCIACIÓN</t>
  </si>
  <si>
    <t xml:space="preserve">Flujo de caja de financiación </t>
  </si>
  <si>
    <t>Equipos de subestación eléctrica</t>
  </si>
  <si>
    <t>Capital de trabajo</t>
  </si>
  <si>
    <t>DEPRECIACIÓN DE LÍNEA RECTA</t>
  </si>
  <si>
    <t>Depreciación acumulada</t>
  </si>
  <si>
    <t>Inversión en capital de trabajo</t>
  </si>
  <si>
    <t>Margen de capital de trabajo</t>
  </si>
  <si>
    <t>Utilidad/Pérdida</t>
  </si>
  <si>
    <t>Impuesto del 33%</t>
  </si>
  <si>
    <t>Valor de liquidación</t>
  </si>
  <si>
    <t>Suma de ingresos (COP de 1999)</t>
  </si>
  <si>
    <t>Suma de ingresos corrientes (COP de cada año)</t>
  </si>
  <si>
    <t>Equipo de subestación eléctrica (vida útil: 30 años): inversión inicial</t>
  </si>
  <si>
    <t>Equipo de subestación eléctrica (vida útil: 30 años) : abonos a capital</t>
  </si>
  <si>
    <t>Promedio de indisponibilidad</t>
  </si>
  <si>
    <r>
      <t xml:space="preserve">Área del patio </t>
    </r>
    <r>
      <rPr>
        <i/>
        <sz val="11"/>
        <rFont val="Calibri"/>
        <family val="2"/>
        <scheme val="minor"/>
      </rPr>
      <t>SVC</t>
    </r>
    <r>
      <rPr>
        <sz val="11"/>
        <rFont val="Calibri"/>
        <family val="2"/>
        <scheme val="minor"/>
      </rPr>
      <t xml:space="preserve"> (m°2)</t>
    </r>
  </si>
  <si>
    <r>
      <t xml:space="preserve">Área del edificio de la sala de control de </t>
    </r>
    <r>
      <rPr>
        <i/>
        <sz val="11"/>
        <rFont val="Calibri"/>
        <family val="2"/>
        <scheme val="minor"/>
      </rPr>
      <t>SVC</t>
    </r>
    <r>
      <rPr>
        <sz val="11"/>
        <rFont val="Calibri"/>
        <family val="2"/>
        <scheme val="minor"/>
      </rPr>
      <t xml:space="preserve"> (m°2)</t>
    </r>
  </si>
  <si>
    <t>Terrenos 7,6%  del área típica</t>
  </si>
  <si>
    <t>Terrenos 5,69%  del área tpica</t>
  </si>
  <si>
    <t>Bordillos en vía (580.39*$40,000)</t>
  </si>
  <si>
    <t>Cerramiento de malla eslabonada (148,66*$170,000)</t>
  </si>
  <si>
    <t>Puertas de acceso a patios en doble hoja (son dos)</t>
  </si>
  <si>
    <t>Subtotal del patio eléctrico de 115 kv</t>
  </si>
  <si>
    <t>Base para tanque de ACPM</t>
  </si>
  <si>
    <t>Total  del lote 1</t>
  </si>
  <si>
    <t>Valor de inversion</t>
  </si>
  <si>
    <t>Cuota del crédito 1</t>
  </si>
  <si>
    <t>Cuota del crédito 2</t>
  </si>
  <si>
    <t>Interés del crédito 1</t>
  </si>
  <si>
    <t>Interés del crédito 2</t>
  </si>
  <si>
    <t>Abono del crédito 1</t>
  </si>
  <si>
    <t>Abono del crédito 2</t>
  </si>
  <si>
    <t>Saldo del crédito 1</t>
  </si>
  <si>
    <t>Saldo del crédito 2</t>
  </si>
  <si>
    <t xml:space="preserve">Flujo bruto de caja </t>
  </si>
  <si>
    <t>Beneficio tributario</t>
  </si>
  <si>
    <t xml:space="preserve">Costo efectivo anual despues de impuestos </t>
  </si>
  <si>
    <t>Impuesto del  33%</t>
  </si>
  <si>
    <t>Margen de capital trabajo</t>
  </si>
  <si>
    <t>VRN SVC :COP de 1999</t>
  </si>
  <si>
    <t>AOM(CREG026=2.5%VRN; CREG011=3.14%VRN; VREF=3.09%)</t>
  </si>
  <si>
    <t>Terrenos (CREG026=7.6% ; CREG011=5.69%). Area típica: 2500m°2</t>
  </si>
  <si>
    <t>Suma de ingresos: en COP de 1999</t>
  </si>
  <si>
    <t>Suma de ingresos corrientes: COP de cada año</t>
  </si>
  <si>
    <r>
      <t xml:space="preserve">Área del edificio de sala de control </t>
    </r>
    <r>
      <rPr>
        <i/>
        <sz val="11"/>
        <rFont val="Calibri"/>
        <family val="2"/>
        <scheme val="minor"/>
      </rPr>
      <t>SVC</t>
    </r>
    <r>
      <rPr>
        <sz val="11"/>
        <rFont val="Calibri"/>
        <family val="2"/>
        <scheme val="minor"/>
      </rPr>
      <t xml:space="preserve"> (m°2)</t>
    </r>
  </si>
  <si>
    <t>Edificio de control y oficinas (2 pisos)</t>
  </si>
  <si>
    <t>Inersión en capital de trabajo</t>
  </si>
  <si>
    <t>Margen en capital de trabajo</t>
  </si>
  <si>
    <t>Utilidad neta - UN</t>
  </si>
  <si>
    <t>Amortizacion de diferidos operativos</t>
  </si>
  <si>
    <t>Depreciación en administración; distribución; ventas</t>
  </si>
  <si>
    <t>Variación del capital de trabajo</t>
  </si>
  <si>
    <t>Inversión en activos fijos</t>
  </si>
  <si>
    <t>INVERSIÓN</t>
  </si>
  <si>
    <t>Información de inversión del proyecto DDP "Compensador estático 500KV"</t>
  </si>
  <si>
    <t>Control de obra</t>
  </si>
  <si>
    <r>
      <t xml:space="preserve">Timbre, ICA , GTF, </t>
    </r>
    <r>
      <rPr>
        <i/>
        <sz val="10"/>
        <rFont val="Calibri"/>
        <family val="2"/>
        <scheme val="minor"/>
      </rPr>
      <t>Gross UP</t>
    </r>
    <r>
      <rPr>
        <sz val="10"/>
        <rFont val="Calibri"/>
        <family val="2"/>
        <scheme val="minor"/>
      </rPr>
      <t xml:space="preserve"> de renta</t>
    </r>
  </si>
  <si>
    <t>Diagnóstico ambiental - alternativas</t>
  </si>
  <si>
    <t>EQUIPOS PRIMARIOS DEL PATIO DE 11kV</t>
  </si>
  <si>
    <t>Condensadores TSC</t>
  </si>
  <si>
    <t>Condensadores de filtros</t>
  </si>
  <si>
    <t>MOV de protección de banco de condensadores</t>
  </si>
  <si>
    <t>Transformadores de corriente pasa muros</t>
  </si>
  <si>
    <t>Interruptor de potencia para filtros</t>
  </si>
  <si>
    <t>Válvulas de tiristores para TSC</t>
  </si>
  <si>
    <t>Válvulas de tiristores para TCR</t>
  </si>
  <si>
    <r>
      <t xml:space="preserve">Controladores con comunicación 61850 doble puerto (2 </t>
    </r>
    <r>
      <rPr>
        <i/>
        <sz val="10"/>
        <rFont val="Arial"/>
        <family val="2"/>
      </rPr>
      <t>switches</t>
    </r>
    <r>
      <rPr>
        <sz val="10"/>
        <rFont val="Arial"/>
        <family val="2"/>
      </rPr>
      <t xml:space="preserve">) para integración con SCADA existente </t>
    </r>
  </si>
  <si>
    <r>
      <t xml:space="preserve">Red de datos LAN- </t>
    </r>
    <r>
      <rPr>
        <i/>
        <sz val="10"/>
        <rFont val="Arial"/>
        <family val="2"/>
      </rPr>
      <t>Ethernet</t>
    </r>
    <r>
      <rPr>
        <sz val="10"/>
        <rFont val="Arial"/>
        <family val="2"/>
      </rPr>
      <t xml:space="preserve"> y </t>
    </r>
    <r>
      <rPr>
        <i/>
        <sz val="10"/>
        <rFont val="Arial"/>
        <family val="2"/>
      </rPr>
      <t>switches</t>
    </r>
  </si>
  <si>
    <t>Servicios auxiliares AC y DC  de respaldo con UMD</t>
  </si>
  <si>
    <t>Sistema de control de válvula de tiristores</t>
  </si>
  <si>
    <t>Montaje de equipos primario y secundario</t>
  </si>
  <si>
    <t xml:space="preserve">Puesta en de servicio del sistema de control y protección </t>
  </si>
  <si>
    <t>Pruebas en fábrica del sistema de protección y control</t>
  </si>
  <si>
    <t>Conjunto de repuestos para cumplir con la disponibilidad fijada por la CREG 011 de 99,83%</t>
  </si>
  <si>
    <t>Total de $ de compensación según CREG 26</t>
  </si>
  <si>
    <t>Total de $ de compensación según CREG 11</t>
  </si>
  <si>
    <t>Sistema de transmisión nacional</t>
  </si>
  <si>
    <t>Transmisor nacional</t>
  </si>
  <si>
    <t>Unidad constructiva (activo eléctrico)</t>
  </si>
  <si>
    <r>
      <t xml:space="preserve"> </t>
    </r>
    <r>
      <rPr>
        <i/>
        <sz val="12"/>
        <rFont val="Times New Roman"/>
        <family val="1"/>
      </rPr>
      <t>Lyfe Cycle Cost</t>
    </r>
  </si>
  <si>
    <t>Administración, operación y mantenimiento</t>
  </si>
  <si>
    <r>
      <rPr>
        <i/>
        <sz val="12"/>
        <rFont val="Times New Roman"/>
        <family val="1"/>
      </rPr>
      <t>Capital Expenditures</t>
    </r>
    <r>
      <rPr>
        <sz val="12"/>
        <rFont val="Times New Roman"/>
        <family val="1"/>
      </rPr>
      <t>, costos de capital, inversión del proyecto, compra e inversión del activo</t>
    </r>
  </si>
  <si>
    <r>
      <rPr>
        <i/>
        <sz val="12"/>
        <rFont val="Times New Roman"/>
        <family val="1"/>
      </rPr>
      <t>Operational Expenditures</t>
    </r>
    <r>
      <rPr>
        <sz val="12"/>
        <rFont val="Times New Roman"/>
        <family val="1"/>
      </rPr>
      <t xml:space="preserve">, costos de operación y mantenimiento, </t>
    </r>
    <r>
      <rPr>
        <i/>
        <sz val="12"/>
        <rFont val="Times New Roman"/>
        <family val="1"/>
      </rPr>
      <t>O&amp;M</t>
    </r>
  </si>
  <si>
    <t>Costo anual equivalente, l</t>
  </si>
  <si>
    <t>Operación y mantenimiento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</si>
</sst>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6" formatCode="&quot;$&quot;\ #,##0_);[Red]\(&quot;$&quot;\ #,##0\)"/>
    <numFmt numFmtId="8" formatCode="&quot;$&quot;\ #,##0.00_);[Red]\(&quot;$&quot;\ #,##0.00\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(&quot;$&quot;\ * #,##0_);_(&quot;$&quot;\ * \(#,##0\);_(&quot;$&quot;\ * &quot;-&quot;??_);_(@_)"/>
    <numFmt numFmtId="167" formatCode="_(* #,##0_);_(* \(#,##0\);_(* &quot;-&quot;??_);_(@_)"/>
    <numFmt numFmtId="168" formatCode="0.00000%"/>
    <numFmt numFmtId="169" formatCode="_(* #,##0.000_);_(* \(#,##0.000\);_(* &quot;-&quot;??_);_(@_)"/>
    <numFmt numFmtId="170" formatCode="0.000%"/>
    <numFmt numFmtId="171" formatCode="0.0000%"/>
    <numFmt numFmtId="172" formatCode="_-[$$-409]* #,##0.00_ ;_-[$$-409]* \-#,##0.00\ ;_-[$$-409]* &quot;-&quot;??_ ;_-@_ "/>
    <numFmt numFmtId="173" formatCode="0.0000"/>
    <numFmt numFmtId="174" formatCode="_-* #,##0.00_-;\-* #,##0.00_-;_-* &quot;-&quot;_-;_-@_-"/>
    <numFmt numFmtId="175" formatCode="_(* #,##0.0_);_(* \(#,##0.0\);_(* &quot;-&quot;??_);_(@_)"/>
    <numFmt numFmtId="176" formatCode="_(&quot;$&quot;\ * #,##0.0_);_(&quot;$&quot;\ * \(#,##0.0\);_(&quot;$&quot;\ * &quot;-&quot;?_);_(@_)"/>
    <numFmt numFmtId="177" formatCode="0.0"/>
    <numFmt numFmtId="178" formatCode="0.0%"/>
    <numFmt numFmtId="179" formatCode="_(* #,##0.0_);_(* \(#,##0.0\);_(* &quot;-&quot;?_);_(@_)"/>
    <numFmt numFmtId="180" formatCode="#,##0.000"/>
    <numFmt numFmtId="181" formatCode="[$-C0A]dd\-mmm\-yy;@"/>
    <numFmt numFmtId="182" formatCode="_-* #,##0.00\ _D_M_-;\-* #,##0.00\ _D_M_-;_-* &quot;-&quot;??\ _D_M_-;_-@_-"/>
  </numFmts>
  <fonts count="8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1"/>
      <color theme="0"/>
      <name val="Calibri"/>
      <family val="2"/>
      <scheme val="minor"/>
    </font>
    <font>
      <sz val="10"/>
      <color rgb="FFFF0000"/>
      <name val="Arial Unicode MS"/>
      <family val="2"/>
    </font>
    <font>
      <sz val="10"/>
      <color theme="1"/>
      <name val="Arial Unicode MS"/>
      <family val="2"/>
    </font>
    <font>
      <b/>
      <sz val="10"/>
      <color theme="1"/>
      <name val="Arial Unicode MS"/>
      <family val="2"/>
    </font>
    <font>
      <sz val="10"/>
      <color theme="5" tint="-0.249977111117893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9"/>
      <color indexed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i/>
      <sz val="8"/>
      <name val="Arial"/>
      <family val="2"/>
    </font>
    <font>
      <b/>
      <i/>
      <sz val="7"/>
      <name val="Arial"/>
      <family val="2"/>
    </font>
    <font>
      <u/>
      <sz val="7.5"/>
      <color indexed="36"/>
      <name val="Arial"/>
      <family val="2"/>
    </font>
    <font>
      <u/>
      <sz val="11"/>
      <color indexed="12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9"/>
      <color rgb="FF0070C0"/>
      <name val="Times New Roman"/>
      <family val="1"/>
    </font>
    <font>
      <sz val="9"/>
      <color rgb="FF0070C0"/>
      <name val="Times New Roman"/>
      <family val="1"/>
    </font>
    <font>
      <b/>
      <i/>
      <sz val="9"/>
      <color rgb="FF0070C0"/>
      <name val="Times New Roman"/>
      <family val="1"/>
    </font>
    <font>
      <b/>
      <i/>
      <sz val="9"/>
      <color rgb="FF002060"/>
      <name val="Times New Roman"/>
      <family val="1"/>
    </font>
    <font>
      <i/>
      <sz val="9"/>
      <color rgb="FF0070C0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sz val="14"/>
      <color indexed="81"/>
      <name val="Tahoma"/>
      <family val="2"/>
    </font>
    <font>
      <sz val="10"/>
      <name val="MS Sans Serif"/>
      <family val="2"/>
    </font>
    <font>
      <sz val="8"/>
      <color indexed="12"/>
      <name val="Arial"/>
      <family val="2"/>
    </font>
    <font>
      <sz val="8"/>
      <name val="MS Sans Serif"/>
      <family val="2"/>
    </font>
    <font>
      <sz val="8"/>
      <color indexed="4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10"/>
      <color theme="1"/>
      <name val="Arial"/>
      <family val="2"/>
    </font>
    <font>
      <sz val="11"/>
      <color rgb="FF00B050"/>
      <name val="Calibri"/>
      <family val="2"/>
      <scheme val="minor"/>
    </font>
    <font>
      <b/>
      <sz val="10"/>
      <color rgb="FF00B050"/>
      <name val="Arial"/>
      <family val="2"/>
    </font>
    <font>
      <i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sz val="12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i/>
      <sz val="12"/>
      <name val="Times New Roman"/>
      <family val="1"/>
    </font>
    <font>
      <b/>
      <i/>
      <sz val="9"/>
      <name val="Times New Roman"/>
      <family val="1"/>
    </font>
    <font>
      <b/>
      <sz val="12"/>
      <name val="Times New Roman"/>
      <family val="1"/>
    </font>
    <font>
      <i/>
      <sz val="9"/>
      <name val="Times New Roman"/>
      <family val="1"/>
    </font>
    <font>
      <u val="singleAccounting"/>
      <sz val="11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  <scheme val="minor"/>
    </font>
    <font>
      <b/>
      <sz val="20"/>
      <name val="Calibri"/>
      <family val="2"/>
      <scheme val="minor"/>
    </font>
    <font>
      <u/>
      <sz val="11"/>
      <name val="Calibri"/>
      <family val="2"/>
      <scheme val="minor"/>
    </font>
    <font>
      <i/>
      <sz val="10"/>
      <name val="Calibri"/>
      <family val="2"/>
      <scheme val="minor"/>
    </font>
    <font>
      <b/>
      <sz val="9"/>
      <name val="Arial"/>
      <family val="2"/>
    </font>
    <font>
      <i/>
      <sz val="10"/>
      <name val="Arial"/>
      <family val="2"/>
    </font>
    <font>
      <sz val="8"/>
      <name val="Calibri"/>
      <family val="2"/>
      <scheme val="minor"/>
    </font>
    <font>
      <i/>
      <sz val="12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0"/>
        <bgColor indexed="2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7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E6E6E6"/>
        <bgColor indexed="64"/>
      </patternFill>
    </fill>
  </fills>
  <borders count="11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indexed="9"/>
      </right>
      <top/>
      <bottom style="medium">
        <color indexed="9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9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indexed="9"/>
      </top>
      <bottom style="medium">
        <color indexed="9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/>
      <bottom style="thick">
        <color rgb="FF6666CC"/>
      </bottom>
      <diagonal/>
    </border>
    <border>
      <left style="thin">
        <color rgb="FF000000"/>
      </left>
      <right style="medium">
        <color rgb="FFCCCCCC"/>
      </right>
      <top style="thin">
        <color rgb="FF000000"/>
      </top>
      <bottom style="medium">
        <color rgb="FFCCCCCC"/>
      </bottom>
      <diagonal/>
    </border>
    <border>
      <left/>
      <right style="thin">
        <color rgb="FF000000"/>
      </right>
      <top style="thin">
        <color rgb="FF000000"/>
      </top>
      <bottom style="medium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2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0" fontId="26" fillId="0" borderId="0">
      <alignment horizontal="left" vertical="top"/>
    </xf>
    <xf numFmtId="0" fontId="27" fillId="0" borderId="0">
      <alignment horizontal="centerContinuous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17" applyBorder="0">
      <alignment horizontal="center"/>
    </xf>
    <xf numFmtId="0" fontId="20" fillId="0" borderId="0">
      <alignment horizontal="left" vertical="top"/>
    </xf>
    <xf numFmtId="0" fontId="23" fillId="0" borderId="0">
      <alignment horizontal="left" vertical="top"/>
    </xf>
    <xf numFmtId="0" fontId="31" fillId="0" borderId="0">
      <alignment horizontal="left" vertical="top"/>
    </xf>
    <xf numFmtId="0" fontId="30" fillId="0" borderId="0">
      <alignment horizontal="left" vertical="top"/>
    </xf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48" fillId="0" borderId="0"/>
    <xf numFmtId="9" fontId="23" fillId="0" borderId="0" applyFont="0" applyFill="0" applyBorder="0" applyAlignment="0" applyProtection="0"/>
    <xf numFmtId="182" fontId="23" fillId="0" borderId="0" applyFont="0" applyFill="0" applyBorder="0" applyAlignment="0" applyProtection="0"/>
  </cellStyleXfs>
  <cellXfs count="662">
    <xf numFmtId="0" fontId="0" fillId="0" borderId="0" xfId="0"/>
    <xf numFmtId="166" fontId="0" fillId="0" borderId="0" xfId="2" applyNumberFormat="1" applyFont="1"/>
    <xf numFmtId="166" fontId="0" fillId="0" borderId="0" xfId="0" applyNumberFormat="1"/>
    <xf numFmtId="0" fontId="0" fillId="0" borderId="0" xfId="0" applyAlignment="1">
      <alignment horizontal="center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10" xfId="0" applyBorder="1"/>
    <xf numFmtId="0" fontId="0" fillId="3" borderId="11" xfId="0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5" fillId="0" borderId="0" xfId="0" applyFont="1" applyAlignment="1">
      <alignment horizontal="justify" vertical="center"/>
    </xf>
    <xf numFmtId="0" fontId="0" fillId="0" borderId="8" xfId="0" applyBorder="1"/>
    <xf numFmtId="0" fontId="6" fillId="0" borderId="8" xfId="0" applyFont="1" applyBorder="1"/>
    <xf numFmtId="0" fontId="6" fillId="0" borderId="0" xfId="0" applyFont="1"/>
    <xf numFmtId="0" fontId="0" fillId="2" borderId="0" xfId="0" applyFill="1"/>
    <xf numFmtId="0" fontId="0" fillId="4" borderId="0" xfId="0" applyFill="1"/>
    <xf numFmtId="166" fontId="0" fillId="0" borderId="8" xfId="0" applyNumberFormat="1" applyBorder="1"/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44" fontId="0" fillId="0" borderId="0" xfId="2" applyNumberFormat="1" applyFont="1"/>
    <xf numFmtId="0" fontId="0" fillId="0" borderId="0" xfId="0" applyBorder="1"/>
    <xf numFmtId="166" fontId="0" fillId="0" borderId="0" xfId="0" applyNumberFormat="1" applyBorder="1"/>
    <xf numFmtId="9" fontId="0" fillId="0" borderId="8" xfId="0" applyNumberFormat="1" applyBorder="1"/>
    <xf numFmtId="166" fontId="0" fillId="0" borderId="8" xfId="2" applyNumberFormat="1" applyFont="1" applyBorder="1"/>
    <xf numFmtId="167" fontId="0" fillId="0" borderId="8" xfId="0" applyNumberFormat="1" applyBorder="1"/>
    <xf numFmtId="167" fontId="0" fillId="0" borderId="0" xfId="1" applyNumberFormat="1" applyFont="1" applyBorder="1"/>
    <xf numFmtId="0" fontId="3" fillId="0" borderId="0" xfId="0" applyFont="1"/>
    <xf numFmtId="3" fontId="0" fillId="0" borderId="0" xfId="0" applyNumberFormat="1" applyBorder="1" applyAlignment="1">
      <alignment vertical="center"/>
    </xf>
    <xf numFmtId="167" fontId="0" fillId="0" borderId="8" xfId="1" applyNumberFormat="1" applyFont="1" applyBorder="1" applyAlignment="1">
      <alignment horizontal="right"/>
    </xf>
    <xf numFmtId="0" fontId="0" fillId="0" borderId="28" xfId="0" applyBorder="1" applyAlignment="1">
      <alignment horizontal="center"/>
    </xf>
    <xf numFmtId="3" fontId="0" fillId="0" borderId="0" xfId="0" applyNumberFormat="1"/>
    <xf numFmtId="10" fontId="11" fillId="0" borderId="0" xfId="3" applyNumberFormat="1" applyFont="1"/>
    <xf numFmtId="3" fontId="12" fillId="0" borderId="0" xfId="0" applyNumberFormat="1" applyFont="1"/>
    <xf numFmtId="3" fontId="13" fillId="0" borderId="0" xfId="0" applyNumberFormat="1" applyFont="1"/>
    <xf numFmtId="10" fontId="12" fillId="0" borderId="0" xfId="3" applyNumberFormat="1" applyFont="1"/>
    <xf numFmtId="9" fontId="12" fillId="0" borderId="0" xfId="3" applyNumberFormat="1" applyFont="1"/>
    <xf numFmtId="3" fontId="13" fillId="0" borderId="0" xfId="0" applyNumberFormat="1" applyFont="1" applyAlignment="1">
      <alignment horizontal="center"/>
    </xf>
    <xf numFmtId="3" fontId="6" fillId="0" borderId="0" xfId="0" applyNumberFormat="1" applyFont="1"/>
    <xf numFmtId="3" fontId="0" fillId="0" borderId="0" xfId="0" applyNumberFormat="1" applyFont="1"/>
    <xf numFmtId="3" fontId="0" fillId="0" borderId="0" xfId="0" applyNumberFormat="1" applyFont="1" applyAlignment="1"/>
    <xf numFmtId="3" fontId="0" fillId="0" borderId="0" xfId="0" applyNumberFormat="1" applyFont="1" applyFill="1"/>
    <xf numFmtId="168" fontId="1" fillId="0" borderId="0" xfId="3" applyNumberFormat="1" applyFont="1" applyFill="1"/>
    <xf numFmtId="3" fontId="0" fillId="6" borderId="0" xfId="0" applyNumberFormat="1" applyFont="1" applyFill="1"/>
    <xf numFmtId="168" fontId="1" fillId="6" borderId="0" xfId="3" applyNumberFormat="1" applyFont="1" applyFill="1"/>
    <xf numFmtId="3" fontId="0" fillId="10" borderId="0" xfId="0" applyNumberFormat="1" applyFont="1" applyFill="1"/>
    <xf numFmtId="168" fontId="15" fillId="10" borderId="0" xfId="3" applyNumberFormat="1" applyFont="1" applyFill="1"/>
    <xf numFmtId="3" fontId="2" fillId="0" borderId="0" xfId="0" applyNumberFormat="1" applyFont="1"/>
    <xf numFmtId="10" fontId="16" fillId="0" borderId="0" xfId="3" applyNumberFormat="1" applyFont="1"/>
    <xf numFmtId="0" fontId="17" fillId="8" borderId="21" xfId="0" applyFont="1" applyFill="1" applyBorder="1" applyAlignment="1">
      <alignment horizontal="left" vertical="center"/>
    </xf>
    <xf numFmtId="3" fontId="17" fillId="0" borderId="22" xfId="1" applyNumberFormat="1" applyFont="1" applyBorder="1" applyAlignment="1">
      <alignment vertical="center"/>
    </xf>
    <xf numFmtId="3" fontId="18" fillId="0" borderId="22" xfId="1" applyNumberFormat="1" applyFont="1" applyBorder="1" applyAlignment="1">
      <alignment vertical="center"/>
    </xf>
    <xf numFmtId="3" fontId="18" fillId="9" borderId="22" xfId="1" applyNumberFormat="1" applyFont="1" applyFill="1" applyBorder="1" applyAlignment="1">
      <alignment vertical="center"/>
    </xf>
    <xf numFmtId="3" fontId="18" fillId="0" borderId="24" xfId="1" applyNumberFormat="1" applyFont="1" applyBorder="1" applyAlignment="1">
      <alignment vertical="center"/>
    </xf>
    <xf numFmtId="49" fontId="17" fillId="0" borderId="21" xfId="0" applyNumberFormat="1" applyFont="1" applyFill="1" applyBorder="1" applyAlignment="1">
      <alignment horizontal="left" vertical="center"/>
    </xf>
    <xf numFmtId="49" fontId="18" fillId="0" borderId="21" xfId="0" applyNumberFormat="1" applyFont="1" applyFill="1" applyBorder="1" applyAlignment="1">
      <alignment horizontal="left" vertical="center" indent="1"/>
    </xf>
    <xf numFmtId="49" fontId="18" fillId="0" borderId="23" xfId="0" applyNumberFormat="1" applyFont="1" applyFill="1" applyBorder="1" applyAlignment="1">
      <alignment horizontal="left" vertical="center" indent="1"/>
    </xf>
    <xf numFmtId="3" fontId="6" fillId="0" borderId="8" xfId="0" applyNumberFormat="1" applyFont="1" applyBorder="1"/>
    <xf numFmtId="3" fontId="0" fillId="0" borderId="8" xfId="0" applyNumberFormat="1" applyFont="1" applyBorder="1"/>
    <xf numFmtId="3" fontId="14" fillId="0" borderId="8" xfId="0" applyNumberFormat="1" applyFont="1" applyBorder="1"/>
    <xf numFmtId="3" fontId="3" fillId="3" borderId="8" xfId="0" applyNumberFormat="1" applyFont="1" applyFill="1" applyBorder="1" applyAlignment="1">
      <alignment horizontal="center"/>
    </xf>
    <xf numFmtId="3" fontId="16" fillId="0" borderId="8" xfId="0" applyNumberFormat="1" applyFont="1" applyBorder="1"/>
    <xf numFmtId="3" fontId="6" fillId="0" borderId="8" xfId="0" applyNumberFormat="1" applyFont="1" applyFill="1" applyBorder="1"/>
    <xf numFmtId="10" fontId="6" fillId="0" borderId="8" xfId="3" applyNumberFormat="1" applyFont="1" applyBorder="1"/>
    <xf numFmtId="0" fontId="6" fillId="0" borderId="8" xfId="3" applyNumberFormat="1" applyFont="1" applyBorder="1"/>
    <xf numFmtId="9" fontId="6" fillId="0" borderId="8" xfId="3" applyFont="1" applyBorder="1"/>
    <xf numFmtId="3" fontId="6" fillId="0" borderId="8" xfId="0" applyNumberFormat="1" applyFont="1" applyBorder="1" applyAlignment="1">
      <alignment horizontal="right"/>
    </xf>
    <xf numFmtId="9" fontId="1" fillId="0" borderId="8" xfId="3" applyFont="1" applyBorder="1"/>
    <xf numFmtId="3" fontId="16" fillId="3" borderId="5" xfId="0" applyNumberFormat="1" applyFont="1" applyFill="1" applyBorder="1" applyAlignment="1">
      <alignment horizontal="center"/>
    </xf>
    <xf numFmtId="3" fontId="16" fillId="3" borderId="6" xfId="0" applyNumberFormat="1" applyFont="1" applyFill="1" applyBorder="1" applyAlignment="1">
      <alignment horizontal="center"/>
    </xf>
    <xf numFmtId="3" fontId="16" fillId="0" borderId="11" xfId="0" applyNumberFormat="1" applyFont="1" applyBorder="1"/>
    <xf numFmtId="3" fontId="16" fillId="0" borderId="12" xfId="0" applyNumberFormat="1" applyFont="1" applyBorder="1"/>
    <xf numFmtId="166" fontId="6" fillId="0" borderId="29" xfId="2" applyNumberFormat="1" applyFont="1" applyBorder="1"/>
    <xf numFmtId="166" fontId="6" fillId="0" borderId="9" xfId="2" applyNumberFormat="1" applyFont="1" applyBorder="1"/>
    <xf numFmtId="166" fontId="16" fillId="3" borderId="12" xfId="2" applyNumberFormat="1" applyFont="1" applyFill="1" applyBorder="1"/>
    <xf numFmtId="166" fontId="6" fillId="0" borderId="6" xfId="2" applyNumberFormat="1" applyFont="1" applyBorder="1"/>
    <xf numFmtId="166" fontId="16" fillId="3" borderId="12" xfId="2" quotePrefix="1" applyNumberFormat="1" applyFont="1" applyFill="1" applyBorder="1" applyAlignment="1">
      <alignment horizontal="left"/>
    </xf>
    <xf numFmtId="166" fontId="19" fillId="0" borderId="6" xfId="2" applyNumberFormat="1" applyFont="1" applyFill="1" applyBorder="1"/>
    <xf numFmtId="166" fontId="6" fillId="0" borderId="9" xfId="2" applyNumberFormat="1" applyFont="1" applyFill="1" applyBorder="1" applyAlignment="1">
      <alignment horizontal="left"/>
    </xf>
    <xf numFmtId="166" fontId="6" fillId="0" borderId="13" xfId="2" applyNumberFormat="1" applyFont="1" applyFill="1" applyBorder="1"/>
    <xf numFmtId="166" fontId="6" fillId="0" borderId="14" xfId="2" applyNumberFormat="1" applyFont="1" applyFill="1" applyBorder="1" applyAlignment="1">
      <alignment horizontal="left"/>
    </xf>
    <xf numFmtId="166" fontId="6" fillId="0" borderId="14" xfId="2" applyNumberFormat="1" applyFont="1" applyBorder="1"/>
    <xf numFmtId="166" fontId="19" fillId="0" borderId="14" xfId="2" applyNumberFormat="1" applyFont="1" applyBorder="1"/>
    <xf numFmtId="166" fontId="16" fillId="3" borderId="15" xfId="2" applyNumberFormat="1" applyFont="1" applyFill="1" applyBorder="1"/>
    <xf numFmtId="9" fontId="6" fillId="0" borderId="0" xfId="0" applyNumberFormat="1" applyFont="1"/>
    <xf numFmtId="167" fontId="6" fillId="0" borderId="0" xfId="1" applyNumberFormat="1" applyFont="1"/>
    <xf numFmtId="166" fontId="6" fillId="0" borderId="0" xfId="2" applyNumberFormat="1" applyFont="1"/>
    <xf numFmtId="9" fontId="6" fillId="0" borderId="0" xfId="3" applyFont="1"/>
    <xf numFmtId="166" fontId="6" fillId="0" borderId="16" xfId="2" applyNumberFormat="1" applyFont="1" applyBorder="1"/>
    <xf numFmtId="166" fontId="16" fillId="7" borderId="12" xfId="2" quotePrefix="1" applyNumberFormat="1" applyFont="1" applyFill="1" applyBorder="1" applyAlignment="1">
      <alignment horizontal="left"/>
    </xf>
    <xf numFmtId="9" fontId="6" fillId="0" borderId="8" xfId="0" applyNumberFormat="1" applyFont="1" applyBorder="1"/>
    <xf numFmtId="166" fontId="6" fillId="0" borderId="8" xfId="2" applyNumberFormat="1" applyFont="1" applyBorder="1"/>
    <xf numFmtId="166" fontId="6" fillId="0" borderId="8" xfId="0" applyNumberFormat="1" applyFont="1" applyBorder="1"/>
    <xf numFmtId="167" fontId="6" fillId="0" borderId="8" xfId="0" applyNumberFormat="1" applyFont="1" applyBorder="1"/>
    <xf numFmtId="167" fontId="6" fillId="0" borderId="0" xfId="0" applyNumberFormat="1" applyFont="1"/>
    <xf numFmtId="0" fontId="6" fillId="0" borderId="0" xfId="0" applyFont="1" applyBorder="1"/>
    <xf numFmtId="166" fontId="6" fillId="0" borderId="0" xfId="2" applyNumberFormat="1" applyFont="1" applyBorder="1"/>
    <xf numFmtId="167" fontId="6" fillId="0" borderId="0" xfId="1" applyNumberFormat="1" applyFont="1" applyBorder="1"/>
    <xf numFmtId="49" fontId="0" fillId="0" borderId="8" xfId="0" quotePrefix="1" applyNumberFormat="1" applyBorder="1" applyAlignment="1">
      <alignment horizontal="center"/>
    </xf>
    <xf numFmtId="166" fontId="0" fillId="2" borderId="0" xfId="2" applyNumberFormat="1" applyFont="1" applyFill="1"/>
    <xf numFmtId="166" fontId="16" fillId="2" borderId="15" xfId="2" applyNumberFormat="1" applyFont="1" applyFill="1" applyBorder="1"/>
    <xf numFmtId="43" fontId="0" fillId="0" borderId="0" xfId="0" applyNumberFormat="1" applyBorder="1"/>
    <xf numFmtId="167" fontId="0" fillId="0" borderId="0" xfId="0" applyNumberFormat="1" applyBorder="1"/>
    <xf numFmtId="0" fontId="0" fillId="0" borderId="0" xfId="2" applyNumberFormat="1" applyFont="1"/>
    <xf numFmtId="0" fontId="0" fillId="0" borderId="0" xfId="0" applyNumberFormat="1"/>
    <xf numFmtId="0" fontId="3" fillId="0" borderId="0" xfId="0" applyNumberFormat="1" applyFont="1" applyAlignment="1">
      <alignment horizontal="center"/>
    </xf>
    <xf numFmtId="167" fontId="0" fillId="0" borderId="8" xfId="1" applyNumberFormat="1" applyFont="1" applyBorder="1"/>
    <xf numFmtId="0" fontId="0" fillId="0" borderId="8" xfId="0" applyFont="1" applyBorder="1"/>
    <xf numFmtId="10" fontId="6" fillId="0" borderId="18" xfId="3" applyNumberFormat="1" applyFont="1" applyBorder="1"/>
    <xf numFmtId="0" fontId="0" fillId="0" borderId="5" xfId="0" applyFont="1" applyBorder="1"/>
    <xf numFmtId="166" fontId="0" fillId="0" borderId="5" xfId="2" applyNumberFormat="1" applyFont="1" applyBorder="1" applyAlignment="1">
      <alignment horizontal="right"/>
    </xf>
    <xf numFmtId="0" fontId="0" fillId="0" borderId="5" xfId="0" applyFont="1" applyBorder="1" applyAlignment="1">
      <alignment horizontal="justify" vertical="center"/>
    </xf>
    <xf numFmtId="9" fontId="0" fillId="0" borderId="5" xfId="0" applyNumberFormat="1" applyFont="1" applyBorder="1" applyAlignment="1">
      <alignment horizontal="justify" vertical="center"/>
    </xf>
    <xf numFmtId="0" fontId="0" fillId="0" borderId="6" xfId="0" applyFont="1" applyBorder="1"/>
    <xf numFmtId="0" fontId="3" fillId="0" borderId="30" xfId="1" applyNumberFormat="1" applyFont="1" applyBorder="1" applyAlignment="1">
      <alignment horizontal="center"/>
    </xf>
    <xf numFmtId="0" fontId="3" fillId="0" borderId="11" xfId="1" applyNumberFormat="1" applyFont="1" applyBorder="1" applyAlignment="1">
      <alignment horizontal="center"/>
    </xf>
    <xf numFmtId="0" fontId="3" fillId="0" borderId="11" xfId="1" applyNumberFormat="1" applyFont="1" applyFill="1" applyBorder="1" applyAlignment="1">
      <alignment horizontal="center"/>
    </xf>
    <xf numFmtId="9" fontId="6" fillId="0" borderId="0" xfId="0" applyNumberFormat="1" applyFont="1" applyBorder="1"/>
    <xf numFmtId="9" fontId="0" fillId="0" borderId="0" xfId="0" applyNumberFormat="1" applyBorder="1"/>
    <xf numFmtId="43" fontId="0" fillId="0" borderId="0" xfId="1" applyNumberFormat="1" applyFont="1" applyBorder="1"/>
    <xf numFmtId="167" fontId="6" fillId="0" borderId="0" xfId="0" applyNumberFormat="1" applyFont="1" applyBorder="1"/>
    <xf numFmtId="0" fontId="0" fillId="0" borderId="7" xfId="0" applyBorder="1" applyAlignment="1">
      <alignment horizontal="center" vertical="center"/>
    </xf>
    <xf numFmtId="166" fontId="6" fillId="0" borderId="35" xfId="2" applyNumberFormat="1" applyFont="1" applyBorder="1"/>
    <xf numFmtId="167" fontId="0" fillId="0" borderId="8" xfId="1" applyNumberFormat="1" applyFont="1" applyBorder="1" applyAlignment="1">
      <alignment horizontal="justify" vertical="center"/>
    </xf>
    <xf numFmtId="167" fontId="0" fillId="0" borderId="9" xfId="1" applyNumberFormat="1" applyFont="1" applyBorder="1"/>
    <xf numFmtId="167" fontId="2" fillId="12" borderId="8" xfId="1" applyNumberFormat="1" applyFont="1" applyFill="1" applyBorder="1"/>
    <xf numFmtId="167" fontId="0" fillId="0" borderId="11" xfId="1" applyNumberFormat="1" applyFont="1" applyBorder="1"/>
    <xf numFmtId="0" fontId="21" fillId="13" borderId="0" xfId="4" applyFont="1" applyFill="1" applyProtection="1">
      <protection hidden="1"/>
    </xf>
    <xf numFmtId="0" fontId="21" fillId="13" borderId="0" xfId="4" applyFont="1" applyFill="1" applyAlignment="1" applyProtection="1">
      <alignment horizontal="justify" wrapText="1"/>
      <protection hidden="1"/>
    </xf>
    <xf numFmtId="0" fontId="22" fillId="14" borderId="8" xfId="4" applyFont="1" applyFill="1" applyBorder="1" applyAlignment="1" applyProtection="1">
      <alignment horizontal="center" vertical="center" wrapText="1"/>
      <protection hidden="1"/>
    </xf>
    <xf numFmtId="0" fontId="9" fillId="13" borderId="18" xfId="4" applyFont="1" applyFill="1" applyBorder="1" applyAlignment="1" applyProtection="1">
      <alignment horizontal="justify" vertical="center" wrapText="1"/>
      <protection hidden="1"/>
    </xf>
    <xf numFmtId="0" fontId="23" fillId="13" borderId="8" xfId="4" applyFont="1" applyFill="1" applyBorder="1" applyAlignment="1" applyProtection="1">
      <alignment horizontal="center" vertical="center" wrapText="1"/>
      <protection hidden="1"/>
    </xf>
    <xf numFmtId="0" fontId="24" fillId="0" borderId="8" xfId="4" applyFont="1" applyFill="1" applyBorder="1" applyAlignment="1" applyProtection="1">
      <alignment horizontal="center" vertical="center" wrapText="1"/>
      <protection locked="0"/>
    </xf>
    <xf numFmtId="0" fontId="9" fillId="13" borderId="8" xfId="4" applyFont="1" applyFill="1" applyBorder="1" applyAlignment="1" applyProtection="1">
      <alignment horizontal="left" wrapText="1" indent="1"/>
      <protection hidden="1"/>
    </xf>
    <xf numFmtId="0" fontId="21" fillId="13" borderId="8" xfId="4" applyFont="1" applyFill="1" applyBorder="1" applyProtection="1">
      <protection hidden="1"/>
    </xf>
    <xf numFmtId="0" fontId="23" fillId="13" borderId="8" xfId="4" applyFont="1" applyFill="1" applyBorder="1" applyAlignment="1" applyProtection="1">
      <alignment horizontal="left" vertical="center" wrapText="1" indent="2"/>
      <protection hidden="1"/>
    </xf>
    <xf numFmtId="0" fontId="25" fillId="13" borderId="8" xfId="4" applyFont="1" applyFill="1" applyBorder="1" applyAlignment="1" applyProtection="1">
      <alignment horizontal="center"/>
      <protection hidden="1"/>
    </xf>
    <xf numFmtId="0" fontId="25" fillId="13" borderId="8" xfId="4" applyFont="1" applyFill="1" applyBorder="1" applyProtection="1">
      <protection hidden="1"/>
    </xf>
    <xf numFmtId="0" fontId="21" fillId="13" borderId="0" xfId="4" applyFont="1" applyFill="1" applyAlignment="1" applyProtection="1">
      <alignment vertical="center" wrapText="1"/>
      <protection hidden="1"/>
    </xf>
    <xf numFmtId="0" fontId="21" fillId="13" borderId="0" xfId="4" applyFont="1" applyFill="1" applyAlignment="1" applyProtection="1">
      <alignment horizontal="justify" vertical="center" wrapText="1"/>
      <protection hidden="1"/>
    </xf>
    <xf numFmtId="0" fontId="21" fillId="13" borderId="0" xfId="4" applyFont="1" applyFill="1" applyAlignment="1" applyProtection="1">
      <protection hidden="1"/>
    </xf>
    <xf numFmtId="9" fontId="21" fillId="13" borderId="8" xfId="4" applyNumberFormat="1" applyFont="1" applyFill="1" applyBorder="1" applyProtection="1">
      <protection hidden="1"/>
    </xf>
    <xf numFmtId="0" fontId="9" fillId="13" borderId="8" xfId="4" applyFont="1" applyFill="1" applyBorder="1" applyAlignment="1" applyProtection="1">
      <alignment horizontal="left" vertical="center" wrapText="1" indent="2"/>
      <protection hidden="1"/>
    </xf>
    <xf numFmtId="167" fontId="24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NumberFormat="1" applyFill="1"/>
    <xf numFmtId="171" fontId="0" fillId="0" borderId="8" xfId="3" applyNumberFormat="1" applyFont="1" applyBorder="1"/>
    <xf numFmtId="43" fontId="0" fillId="0" borderId="8" xfId="1" applyFont="1" applyBorder="1"/>
    <xf numFmtId="170" fontId="0" fillId="15" borderId="8" xfId="0" applyNumberFormat="1" applyFill="1" applyBorder="1"/>
    <xf numFmtId="170" fontId="2" fillId="15" borderId="8" xfId="0" applyNumberFormat="1" applyFont="1" applyFill="1" applyBorder="1"/>
    <xf numFmtId="0" fontId="0" fillId="0" borderId="27" xfId="0" applyBorder="1"/>
    <xf numFmtId="0" fontId="0" fillId="0" borderId="40" xfId="0" applyBorder="1"/>
    <xf numFmtId="8" fontId="0" fillId="0" borderId="40" xfId="0" applyNumberFormat="1" applyBorder="1"/>
    <xf numFmtId="43" fontId="0" fillId="0" borderId="40" xfId="0" applyNumberFormat="1" applyBorder="1"/>
    <xf numFmtId="0" fontId="0" fillId="0" borderId="38" xfId="0" applyBorder="1"/>
    <xf numFmtId="2" fontId="6" fillId="0" borderId="0" xfId="3" applyNumberFormat="1" applyFont="1" applyBorder="1"/>
    <xf numFmtId="166" fontId="0" fillId="0" borderId="5" xfId="2" applyNumberFormat="1" applyFont="1" applyBorder="1"/>
    <xf numFmtId="166" fontId="0" fillId="0" borderId="6" xfId="2" applyNumberFormat="1" applyFont="1" applyBorder="1"/>
    <xf numFmtId="10" fontId="6" fillId="0" borderId="9" xfId="3" applyNumberFormat="1" applyFont="1" applyBorder="1"/>
    <xf numFmtId="2" fontId="6" fillId="0" borderId="11" xfId="3" applyNumberFormat="1" applyFont="1" applyBorder="1"/>
    <xf numFmtId="2" fontId="6" fillId="0" borderId="12" xfId="3" applyNumberFormat="1" applyFont="1" applyBorder="1"/>
    <xf numFmtId="0" fontId="0" fillId="0" borderId="43" xfId="0" applyFont="1" applyBorder="1"/>
    <xf numFmtId="167" fontId="0" fillId="0" borderId="18" xfId="1" applyNumberFormat="1" applyFont="1" applyBorder="1"/>
    <xf numFmtId="167" fontId="0" fillId="0" borderId="18" xfId="1" applyNumberFormat="1" applyFont="1" applyBorder="1" applyAlignment="1">
      <alignment horizontal="center" vertical="center"/>
    </xf>
    <xf numFmtId="167" fontId="2" fillId="12" borderId="18" xfId="1" applyNumberFormat="1" applyFont="1" applyFill="1" applyBorder="1"/>
    <xf numFmtId="167" fontId="0" fillId="0" borderId="44" xfId="1" applyNumberFormat="1" applyFont="1" applyBorder="1"/>
    <xf numFmtId="166" fontId="0" fillId="0" borderId="43" xfId="2" applyNumberFormat="1" applyFont="1" applyBorder="1"/>
    <xf numFmtId="2" fontId="6" fillId="0" borderId="44" xfId="3" applyNumberFormat="1" applyFont="1" applyBorder="1"/>
    <xf numFmtId="0" fontId="0" fillId="0" borderId="5" xfId="0" applyBorder="1"/>
    <xf numFmtId="166" fontId="6" fillId="0" borderId="11" xfId="0" applyNumberFormat="1" applyFont="1" applyBorder="1"/>
    <xf numFmtId="166" fontId="6" fillId="0" borderId="12" xfId="0" applyNumberFormat="1" applyFont="1" applyBorder="1"/>
    <xf numFmtId="167" fontId="0" fillId="0" borderId="9" xfId="1" applyNumberFormat="1" applyFont="1" applyBorder="1" applyAlignment="1">
      <alignment horizontal="right"/>
    </xf>
    <xf numFmtId="167" fontId="0" fillId="0" borderId="9" xfId="1" applyNumberFormat="1" applyFont="1" applyBorder="1" applyAlignment="1">
      <alignment horizontal="justify" vertical="center"/>
    </xf>
    <xf numFmtId="167" fontId="2" fillId="12" borderId="9" xfId="1" applyNumberFormat="1" applyFont="1" applyFill="1" applyBorder="1"/>
    <xf numFmtId="167" fontId="0" fillId="0" borderId="12" xfId="1" applyNumberFormat="1" applyFont="1" applyBorder="1"/>
    <xf numFmtId="0" fontId="3" fillId="6" borderId="16" xfId="0" applyNumberFormat="1" applyFont="1" applyFill="1" applyBorder="1" applyAlignment="1">
      <alignment horizontal="center"/>
    </xf>
    <xf numFmtId="0" fontId="3" fillId="6" borderId="5" xfId="0" applyNumberFormat="1" applyFont="1" applyFill="1" applyBorder="1" applyAlignment="1">
      <alignment horizontal="center"/>
    </xf>
    <xf numFmtId="0" fontId="3" fillId="6" borderId="6" xfId="0" applyNumberFormat="1" applyFont="1" applyFill="1" applyBorder="1" applyAlignment="1">
      <alignment horizontal="center"/>
    </xf>
    <xf numFmtId="0" fontId="3" fillId="6" borderId="30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3" fillId="6" borderId="12" xfId="0" applyFont="1" applyFill="1" applyBorder="1" applyAlignment="1">
      <alignment horizontal="center"/>
    </xf>
    <xf numFmtId="167" fontId="6" fillId="0" borderId="49" xfId="1" applyNumberFormat="1" applyFont="1" applyBorder="1"/>
    <xf numFmtId="167" fontId="6" fillId="0" borderId="50" xfId="1" applyNumberFormat="1" applyFont="1" applyBorder="1"/>
    <xf numFmtId="0" fontId="0" fillId="0" borderId="11" xfId="0" applyBorder="1"/>
    <xf numFmtId="167" fontId="16" fillId="0" borderId="12" xfId="0" applyNumberFormat="1" applyFont="1" applyBorder="1"/>
    <xf numFmtId="167" fontId="0" fillId="0" borderId="51" xfId="1" applyNumberFormat="1" applyFont="1" applyBorder="1"/>
    <xf numFmtId="0" fontId="32" fillId="0" borderId="8" xfId="0" applyFont="1" applyBorder="1" applyAlignment="1">
      <alignment vertical="center"/>
    </xf>
    <xf numFmtId="4" fontId="32" fillId="0" borderId="8" xfId="0" applyNumberFormat="1" applyFont="1" applyBorder="1" applyAlignment="1">
      <alignment horizontal="right" vertical="center"/>
    </xf>
    <xf numFmtId="3" fontId="32" fillId="0" borderId="8" xfId="0" applyNumberFormat="1" applyFont="1" applyBorder="1" applyAlignment="1">
      <alignment horizontal="right" vertical="center"/>
    </xf>
    <xf numFmtId="0" fontId="32" fillId="0" borderId="8" xfId="0" applyFont="1" applyBorder="1" applyAlignment="1">
      <alignment horizontal="right" vertical="center"/>
    </xf>
    <xf numFmtId="0" fontId="36" fillId="0" borderId="8" xfId="0" applyFont="1" applyBorder="1" applyAlignment="1">
      <alignment vertical="center"/>
    </xf>
    <xf numFmtId="0" fontId="35" fillId="0" borderId="8" xfId="0" applyFont="1" applyBorder="1" applyAlignment="1">
      <alignment horizontal="right" vertical="center"/>
    </xf>
    <xf numFmtId="4" fontId="36" fillId="0" borderId="8" xfId="0" applyNumberFormat="1" applyFont="1" applyBorder="1" applyAlignment="1">
      <alignment horizontal="right" vertical="center"/>
    </xf>
    <xf numFmtId="3" fontId="36" fillId="0" borderId="8" xfId="0" applyNumberFormat="1" applyFont="1" applyBorder="1" applyAlignment="1">
      <alignment horizontal="right" vertical="center"/>
    </xf>
    <xf numFmtId="4" fontId="37" fillId="0" borderId="8" xfId="0" applyNumberFormat="1" applyFont="1" applyBorder="1" applyAlignment="1">
      <alignment horizontal="right" vertical="center"/>
    </xf>
    <xf numFmtId="3" fontId="37" fillId="0" borderId="8" xfId="0" applyNumberFormat="1" applyFont="1" applyBorder="1" applyAlignment="1">
      <alignment horizontal="right" vertical="center"/>
    </xf>
    <xf numFmtId="0" fontId="37" fillId="0" borderId="8" xfId="0" applyFont="1" applyBorder="1" applyAlignment="1">
      <alignment horizontal="right" vertical="center"/>
    </xf>
    <xf numFmtId="3" fontId="32" fillId="0" borderId="8" xfId="0" applyNumberFormat="1" applyFont="1" applyBorder="1" applyAlignment="1">
      <alignment horizontal="right" vertical="center" wrapText="1"/>
    </xf>
    <xf numFmtId="4" fontId="35" fillId="0" borderId="8" xfId="0" applyNumberFormat="1" applyFont="1" applyBorder="1" applyAlignment="1">
      <alignment horizontal="right" vertical="center"/>
    </xf>
    <xf numFmtId="3" fontId="38" fillId="0" borderId="8" xfId="0" applyNumberFormat="1" applyFont="1" applyBorder="1" applyAlignment="1">
      <alignment horizontal="right" vertical="center"/>
    </xf>
    <xf numFmtId="4" fontId="32" fillId="0" borderId="5" xfId="0" applyNumberFormat="1" applyFont="1" applyBorder="1" applyAlignment="1">
      <alignment horizontal="right" vertical="center"/>
    </xf>
    <xf numFmtId="3" fontId="32" fillId="0" borderId="5" xfId="0" applyNumberFormat="1" applyFont="1" applyBorder="1" applyAlignment="1">
      <alignment horizontal="right" vertical="center"/>
    </xf>
    <xf numFmtId="3" fontId="32" fillId="0" borderId="6" xfId="0" applyNumberFormat="1" applyFont="1" applyBorder="1" applyAlignment="1">
      <alignment horizontal="right" vertical="center"/>
    </xf>
    <xf numFmtId="3" fontId="32" fillId="0" borderId="9" xfId="0" applyNumberFormat="1" applyFont="1" applyBorder="1" applyAlignment="1">
      <alignment horizontal="right" vertical="center"/>
    </xf>
    <xf numFmtId="0" fontId="32" fillId="0" borderId="9" xfId="0" applyFont="1" applyBorder="1" applyAlignment="1">
      <alignment vertical="center"/>
    </xf>
    <xf numFmtId="3" fontId="36" fillId="0" borderId="9" xfId="0" applyNumberFormat="1" applyFont="1" applyBorder="1" applyAlignment="1">
      <alignment horizontal="right" vertical="center"/>
    </xf>
    <xf numFmtId="3" fontId="37" fillId="0" borderId="9" xfId="0" applyNumberFormat="1" applyFont="1" applyBorder="1" applyAlignment="1">
      <alignment horizontal="right" vertical="center"/>
    </xf>
    <xf numFmtId="3" fontId="38" fillId="0" borderId="9" xfId="0" applyNumberFormat="1" applyFont="1" applyBorder="1" applyAlignment="1">
      <alignment horizontal="right" vertical="center"/>
    </xf>
    <xf numFmtId="0" fontId="33" fillId="0" borderId="11" xfId="0" applyFont="1" applyBorder="1" applyAlignment="1">
      <alignment vertical="center"/>
    </xf>
    <xf numFmtId="4" fontId="34" fillId="0" borderId="11" xfId="0" applyNumberFormat="1" applyFont="1" applyBorder="1" applyAlignment="1">
      <alignment horizontal="right" vertical="center"/>
    </xf>
    <xf numFmtId="0" fontId="33" fillId="0" borderId="11" xfId="0" applyFont="1" applyBorder="1" applyAlignment="1">
      <alignment horizontal="right" vertical="center"/>
    </xf>
    <xf numFmtId="3" fontId="33" fillId="0" borderId="11" xfId="0" applyNumberFormat="1" applyFont="1" applyBorder="1" applyAlignment="1">
      <alignment horizontal="right" vertical="center"/>
    </xf>
    <xf numFmtId="4" fontId="33" fillId="0" borderId="11" xfId="0" applyNumberFormat="1" applyFont="1" applyBorder="1" applyAlignment="1">
      <alignment horizontal="right" vertical="center"/>
    </xf>
    <xf numFmtId="3" fontId="33" fillId="0" borderId="12" xfId="0" applyNumberFormat="1" applyFont="1" applyBorder="1" applyAlignment="1">
      <alignment horizontal="right" vertical="center"/>
    </xf>
    <xf numFmtId="173" fontId="0" fillId="0" borderId="8" xfId="0" applyNumberFormat="1" applyFont="1" applyBorder="1"/>
    <xf numFmtId="165" fontId="0" fillId="0" borderId="8" xfId="14" applyFont="1" applyBorder="1"/>
    <xf numFmtId="174" fontId="0" fillId="0" borderId="0" xfId="14" applyNumberFormat="1" applyFont="1"/>
    <xf numFmtId="167" fontId="0" fillId="0" borderId="53" xfId="1" applyNumberFormat="1" applyFont="1" applyBorder="1"/>
    <xf numFmtId="167" fontId="0" fillId="0" borderId="54" xfId="1" applyNumberFormat="1" applyFont="1" applyBorder="1"/>
    <xf numFmtId="0" fontId="0" fillId="0" borderId="9" xfId="0" applyFont="1" applyBorder="1"/>
    <xf numFmtId="0" fontId="0" fillId="0" borderId="11" xfId="0" applyFont="1" applyBorder="1"/>
    <xf numFmtId="0" fontId="0" fillId="0" borderId="12" xfId="0" applyFont="1" applyBorder="1"/>
    <xf numFmtId="0" fontId="0" fillId="0" borderId="55" xfId="0" applyFont="1" applyFill="1" applyBorder="1" applyAlignment="1">
      <alignment horizontal="justify" vertical="center"/>
    </xf>
    <xf numFmtId="167" fontId="0" fillId="0" borderId="28" xfId="1" applyNumberFormat="1" applyFont="1" applyBorder="1"/>
    <xf numFmtId="9" fontId="0" fillId="0" borderId="53" xfId="3" applyFont="1" applyBorder="1"/>
    <xf numFmtId="9" fontId="0" fillId="0" borderId="11" xfId="3" applyFont="1" applyBorder="1"/>
    <xf numFmtId="9" fontId="0" fillId="0" borderId="12" xfId="3" applyFont="1" applyBorder="1"/>
    <xf numFmtId="166" fontId="6" fillId="0" borderId="57" xfId="2" applyNumberFormat="1" applyFont="1" applyBorder="1"/>
    <xf numFmtId="166" fontId="6" fillId="0" borderId="54" xfId="2" applyNumberFormat="1" applyFont="1" applyBorder="1"/>
    <xf numFmtId="166" fontId="6" fillId="0" borderId="58" xfId="2" applyNumberFormat="1" applyFont="1" applyBorder="1"/>
    <xf numFmtId="166" fontId="6" fillId="0" borderId="59" xfId="2" applyNumberFormat="1" applyFont="1" applyBorder="1"/>
    <xf numFmtId="175" fontId="6" fillId="0" borderId="8" xfId="1" applyNumberFormat="1" applyFont="1" applyBorder="1"/>
    <xf numFmtId="0" fontId="41" fillId="16" borderId="60" xfId="0" applyFont="1" applyFill="1" applyBorder="1" applyAlignment="1">
      <alignment horizontal="right"/>
    </xf>
    <xf numFmtId="167" fontId="0" fillId="0" borderId="0" xfId="1" applyNumberFormat="1" applyFont="1"/>
    <xf numFmtId="3" fontId="17" fillId="8" borderId="63" xfId="1" applyNumberFormat="1" applyFont="1" applyFill="1" applyBorder="1" applyAlignment="1">
      <alignment horizontal="right" vertical="center"/>
    </xf>
    <xf numFmtId="167" fontId="0" fillId="0" borderId="66" xfId="1" applyNumberFormat="1" applyFont="1" applyBorder="1"/>
    <xf numFmtId="167" fontId="0" fillId="0" borderId="67" xfId="1" applyNumberFormat="1" applyFont="1" applyBorder="1" applyAlignment="1">
      <alignment horizontal="right"/>
    </xf>
    <xf numFmtId="167" fontId="0" fillId="0" borderId="67" xfId="1" applyNumberFormat="1" applyFont="1" applyBorder="1"/>
    <xf numFmtId="167" fontId="0" fillId="0" borderId="35" xfId="1" applyNumberFormat="1" applyFont="1" applyBorder="1"/>
    <xf numFmtId="167" fontId="2" fillId="12" borderId="66" xfId="1" applyNumberFormat="1" applyFont="1" applyFill="1" applyBorder="1"/>
    <xf numFmtId="167" fontId="2" fillId="12" borderId="67" xfId="1" applyNumberFormat="1" applyFont="1" applyFill="1" applyBorder="1"/>
    <xf numFmtId="167" fontId="2" fillId="12" borderId="35" xfId="1" applyNumberFormat="1" applyFont="1" applyFill="1" applyBorder="1"/>
    <xf numFmtId="167" fontId="0" fillId="0" borderId="24" xfId="1" applyNumberFormat="1" applyFont="1" applyBorder="1"/>
    <xf numFmtId="167" fontId="0" fillId="0" borderId="28" xfId="1" applyNumberFormat="1" applyFont="1" applyBorder="1" applyAlignment="1">
      <alignment horizontal="justify" vertical="center"/>
    </xf>
    <xf numFmtId="167" fontId="0" fillId="0" borderId="28" xfId="1" applyNumberFormat="1" applyFont="1" applyBorder="1" applyAlignment="1">
      <alignment horizontal="right"/>
    </xf>
    <xf numFmtId="167" fontId="0" fillId="0" borderId="29" xfId="1" applyNumberFormat="1" applyFont="1" applyBorder="1"/>
    <xf numFmtId="167" fontId="2" fillId="12" borderId="51" xfId="1" applyNumberFormat="1" applyFont="1" applyFill="1" applyBorder="1"/>
    <xf numFmtId="167" fontId="2" fillId="12" borderId="49" xfId="1" applyNumberFormat="1" applyFont="1" applyFill="1" applyBorder="1"/>
    <xf numFmtId="167" fontId="2" fillId="12" borderId="50" xfId="1" applyNumberFormat="1" applyFont="1" applyFill="1" applyBorder="1"/>
    <xf numFmtId="0" fontId="3" fillId="6" borderId="52" xfId="0" applyNumberFormat="1" applyFont="1" applyFill="1" applyBorder="1" applyAlignment="1">
      <alignment horizontal="center"/>
    </xf>
    <xf numFmtId="0" fontId="3" fillId="6" borderId="53" xfId="0" applyNumberFormat="1" applyFont="1" applyFill="1" applyBorder="1" applyAlignment="1">
      <alignment horizontal="center"/>
    </xf>
    <xf numFmtId="0" fontId="0" fillId="0" borderId="52" xfId="0" applyFont="1" applyBorder="1"/>
    <xf numFmtId="0" fontId="0" fillId="0" borderId="53" xfId="0" applyFont="1" applyBorder="1"/>
    <xf numFmtId="166" fontId="0" fillId="0" borderId="53" xfId="2" applyNumberFormat="1" applyFont="1" applyBorder="1" applyAlignment="1">
      <alignment horizontal="right"/>
    </xf>
    <xf numFmtId="0" fontId="0" fillId="0" borderId="53" xfId="0" applyFont="1" applyBorder="1" applyAlignment="1">
      <alignment horizontal="justify" vertical="center"/>
    </xf>
    <xf numFmtId="9" fontId="0" fillId="0" borderId="53" xfId="0" applyNumberFormat="1" applyFont="1" applyBorder="1" applyAlignment="1">
      <alignment horizontal="justify" vertical="center"/>
    </xf>
    <xf numFmtId="0" fontId="0" fillId="0" borderId="54" xfId="0" applyFont="1" applyBorder="1"/>
    <xf numFmtId="167" fontId="0" fillId="0" borderId="31" xfId="1" applyNumberFormat="1" applyFont="1" applyBorder="1" applyAlignment="1">
      <alignment horizontal="right"/>
    </xf>
    <xf numFmtId="167" fontId="0" fillId="0" borderId="31" xfId="1" applyNumberFormat="1" applyFont="1" applyBorder="1" applyAlignment="1">
      <alignment horizontal="center" vertical="center"/>
    </xf>
    <xf numFmtId="167" fontId="0" fillId="0" borderId="31" xfId="1" applyNumberFormat="1" applyFont="1" applyBorder="1"/>
    <xf numFmtId="167" fontId="2" fillId="12" borderId="31" xfId="1" applyNumberFormat="1" applyFont="1" applyFill="1" applyBorder="1"/>
    <xf numFmtId="167" fontId="2" fillId="12" borderId="70" xfId="1" applyNumberFormat="1" applyFont="1" applyFill="1" applyBorder="1"/>
    <xf numFmtId="167" fontId="0" fillId="0" borderId="71" xfId="1" applyNumberFormat="1" applyFont="1" applyBorder="1"/>
    <xf numFmtId="167" fontId="0" fillId="0" borderId="30" xfId="1" applyNumberFormat="1" applyFont="1" applyBorder="1"/>
    <xf numFmtId="0" fontId="0" fillId="0" borderId="52" xfId="0" applyFont="1" applyFill="1" applyBorder="1" applyAlignment="1">
      <alignment horizontal="justify" vertical="center"/>
    </xf>
    <xf numFmtId="0" fontId="0" fillId="0" borderId="31" xfId="0" applyFont="1" applyBorder="1"/>
    <xf numFmtId="2" fontId="0" fillId="0" borderId="31" xfId="0" applyNumberFormat="1" applyFont="1" applyBorder="1"/>
    <xf numFmtId="165" fontId="0" fillId="0" borderId="9" xfId="14" applyFont="1" applyBorder="1"/>
    <xf numFmtId="0" fontId="0" fillId="0" borderId="30" xfId="0" applyFont="1" applyBorder="1"/>
    <xf numFmtId="166" fontId="0" fillId="0" borderId="52" xfId="2" applyNumberFormat="1" applyFont="1" applyBorder="1"/>
    <xf numFmtId="166" fontId="0" fillId="0" borderId="53" xfId="2" applyNumberFormat="1" applyFont="1" applyBorder="1"/>
    <xf numFmtId="166" fontId="0" fillId="0" borderId="54" xfId="2" applyNumberFormat="1" applyFont="1" applyBorder="1"/>
    <xf numFmtId="10" fontId="6" fillId="0" borderId="31" xfId="3" applyNumberFormat="1" applyFont="1" applyBorder="1"/>
    <xf numFmtId="2" fontId="6" fillId="0" borderId="30" xfId="3" applyNumberFormat="1" applyFont="1" applyBorder="1"/>
    <xf numFmtId="0" fontId="0" fillId="0" borderId="52" xfId="0" applyBorder="1"/>
    <xf numFmtId="0" fontId="6" fillId="0" borderId="31" xfId="0" applyFont="1" applyBorder="1"/>
    <xf numFmtId="0" fontId="6" fillId="0" borderId="30" xfId="0" applyFont="1" applyBorder="1"/>
    <xf numFmtId="167" fontId="0" fillId="0" borderId="55" xfId="1" applyNumberFormat="1" applyFont="1" applyBorder="1"/>
    <xf numFmtId="8" fontId="6" fillId="0" borderId="8" xfId="0" applyNumberFormat="1" applyFont="1" applyBorder="1"/>
    <xf numFmtId="176" fontId="0" fillId="0" borderId="0" xfId="0" applyNumberFormat="1"/>
    <xf numFmtId="43" fontId="0" fillId="4" borderId="8" xfId="3" applyNumberFormat="1" applyFont="1" applyFill="1" applyBorder="1"/>
    <xf numFmtId="43" fontId="0" fillId="0" borderId="0" xfId="0" applyNumberFormat="1"/>
    <xf numFmtId="177" fontId="0" fillId="0" borderId="8" xfId="0" applyNumberFormat="1" applyBorder="1"/>
    <xf numFmtId="43" fontId="0" fillId="0" borderId="8" xfId="0" applyNumberFormat="1" applyBorder="1"/>
    <xf numFmtId="170" fontId="0" fillId="0" borderId="0" xfId="0" applyNumberFormat="1"/>
    <xf numFmtId="10" fontId="0" fillId="0" borderId="53" xfId="3" applyNumberFormat="1" applyFont="1" applyBorder="1"/>
    <xf numFmtId="10" fontId="0" fillId="0" borderId="54" xfId="3" applyNumberFormat="1" applyFont="1" applyBorder="1"/>
    <xf numFmtId="0" fontId="0" fillId="0" borderId="0" xfId="0" quotePrefix="1"/>
    <xf numFmtId="10" fontId="0" fillId="0" borderId="0" xfId="0" applyNumberFormat="1"/>
    <xf numFmtId="169" fontId="0" fillId="0" borderId="8" xfId="1" applyNumberFormat="1" applyFont="1" applyFill="1" applyBorder="1"/>
    <xf numFmtId="43" fontId="0" fillId="0" borderId="8" xfId="3" applyNumberFormat="1" applyFont="1" applyFill="1" applyBorder="1"/>
    <xf numFmtId="170" fontId="0" fillId="0" borderId="8" xfId="3" applyNumberFormat="1" applyFont="1" applyFill="1" applyBorder="1"/>
    <xf numFmtId="170" fontId="2" fillId="0" borderId="8" xfId="3" applyNumberFormat="1" applyFont="1" applyFill="1" applyBorder="1"/>
    <xf numFmtId="10" fontId="0" fillId="0" borderId="8" xfId="3" applyNumberFormat="1" applyFont="1" applyFill="1" applyBorder="1"/>
    <xf numFmtId="167" fontId="3" fillId="19" borderId="73" xfId="1" applyNumberFormat="1" applyFont="1" applyFill="1" applyBorder="1"/>
    <xf numFmtId="167" fontId="3" fillId="19" borderId="74" xfId="1" applyNumberFormat="1" applyFont="1" applyFill="1" applyBorder="1"/>
    <xf numFmtId="0" fontId="3" fillId="19" borderId="75" xfId="0" applyFont="1" applyFill="1" applyBorder="1"/>
    <xf numFmtId="9" fontId="3" fillId="19" borderId="76" xfId="0" applyNumberFormat="1" applyFont="1" applyFill="1" applyBorder="1"/>
    <xf numFmtId="0" fontId="0" fillId="0" borderId="31" xfId="0" applyBorder="1"/>
    <xf numFmtId="43" fontId="0" fillId="4" borderId="9" xfId="3" applyNumberFormat="1" applyFont="1" applyFill="1" applyBorder="1"/>
    <xf numFmtId="170" fontId="0" fillId="0" borderId="11" xfId="3" applyNumberFormat="1" applyFont="1" applyFill="1" applyBorder="1"/>
    <xf numFmtId="10" fontId="0" fillId="0" borderId="11" xfId="3" applyNumberFormat="1" applyFont="1" applyFill="1" applyBorder="1"/>
    <xf numFmtId="43" fontId="0" fillId="0" borderId="11" xfId="1" applyFont="1" applyBorder="1"/>
    <xf numFmtId="177" fontId="0" fillId="0" borderId="11" xfId="0" applyNumberFormat="1" applyBorder="1"/>
    <xf numFmtId="43" fontId="0" fillId="0" borderId="11" xfId="0" applyNumberFormat="1" applyBorder="1"/>
    <xf numFmtId="0" fontId="0" fillId="20" borderId="80" xfId="0" applyFill="1" applyBorder="1"/>
    <xf numFmtId="171" fontId="0" fillId="20" borderId="80" xfId="3" applyNumberFormat="1" applyFont="1" applyFill="1" applyBorder="1"/>
    <xf numFmtId="171" fontId="0" fillId="20" borderId="81" xfId="3" applyNumberFormat="1" applyFont="1" applyFill="1" applyBorder="1"/>
    <xf numFmtId="0" fontId="0" fillId="0" borderId="30" xfId="0" applyBorder="1"/>
    <xf numFmtId="171" fontId="0" fillId="0" borderId="9" xfId="3" applyNumberFormat="1" applyFont="1" applyBorder="1"/>
    <xf numFmtId="171" fontId="0" fillId="0" borderId="11" xfId="3" applyNumberFormat="1" applyFont="1" applyBorder="1"/>
    <xf numFmtId="171" fontId="0" fillId="0" borderId="12" xfId="3" applyNumberFormat="1" applyFont="1" applyBorder="1"/>
    <xf numFmtId="170" fontId="0" fillId="0" borderId="8" xfId="0" applyNumberFormat="1" applyBorder="1"/>
    <xf numFmtId="170" fontId="0" fillId="0" borderId="9" xfId="0" applyNumberFormat="1" applyBorder="1"/>
    <xf numFmtId="170" fontId="0" fillId="0" borderId="11" xfId="0" applyNumberFormat="1" applyBorder="1"/>
    <xf numFmtId="170" fontId="0" fillId="0" borderId="12" xfId="0" applyNumberFormat="1" applyBorder="1"/>
    <xf numFmtId="0" fontId="0" fillId="3" borderId="77" xfId="0" applyFill="1" applyBorder="1"/>
    <xf numFmtId="0" fontId="0" fillId="3" borderId="78" xfId="0" applyFill="1" applyBorder="1"/>
    <xf numFmtId="0" fontId="0" fillId="3" borderId="79" xfId="0" applyFill="1" applyBorder="1"/>
    <xf numFmtId="167" fontId="0" fillId="0" borderId="84" xfId="0" applyNumberFormat="1" applyBorder="1"/>
    <xf numFmtId="0" fontId="0" fillId="0" borderId="86" xfId="0" applyBorder="1"/>
    <xf numFmtId="0" fontId="6" fillId="0" borderId="34" xfId="0" applyFont="1" applyBorder="1"/>
    <xf numFmtId="0" fontId="6" fillId="0" borderId="47" xfId="0" applyFont="1" applyBorder="1"/>
    <xf numFmtId="0" fontId="3" fillId="0" borderId="0" xfId="1" applyNumberFormat="1" applyFont="1" applyFill="1" applyBorder="1" applyAlignment="1">
      <alignment horizontal="center"/>
    </xf>
    <xf numFmtId="170" fontId="0" fillId="0" borderId="0" xfId="3" applyNumberFormat="1" applyFont="1" applyFill="1" applyBorder="1"/>
    <xf numFmtId="10" fontId="0" fillId="0" borderId="0" xfId="3" applyNumberFormat="1" applyFont="1" applyFill="1" applyBorder="1"/>
    <xf numFmtId="0" fontId="0" fillId="0" borderId="0" xfId="0" applyFont="1" applyBorder="1"/>
    <xf numFmtId="43" fontId="0" fillId="0" borderId="0" xfId="1" applyFont="1" applyBorder="1"/>
    <xf numFmtId="177" fontId="0" fillId="0" borderId="0" xfId="0" applyNumberFormat="1" applyBorder="1"/>
    <xf numFmtId="171" fontId="0" fillId="0" borderId="62" xfId="3" applyNumberFormat="1" applyFont="1" applyBorder="1"/>
    <xf numFmtId="171" fontId="0" fillId="0" borderId="38" xfId="3" applyNumberFormat="1" applyFont="1" applyBorder="1"/>
    <xf numFmtId="0" fontId="0" fillId="0" borderId="8" xfId="0" applyFill="1" applyBorder="1"/>
    <xf numFmtId="0" fontId="3" fillId="19" borderId="87" xfId="0" applyFont="1" applyFill="1" applyBorder="1"/>
    <xf numFmtId="0" fontId="3" fillId="19" borderId="88" xfId="0" applyFont="1" applyFill="1" applyBorder="1"/>
    <xf numFmtId="0" fontId="3" fillId="19" borderId="89" xfId="0" applyFont="1" applyFill="1" applyBorder="1"/>
    <xf numFmtId="0" fontId="0" fillId="0" borderId="83" xfId="0" applyBorder="1"/>
    <xf numFmtId="167" fontId="0" fillId="0" borderId="84" xfId="1" applyNumberFormat="1" applyFont="1" applyBorder="1"/>
    <xf numFmtId="167" fontId="0" fillId="0" borderId="85" xfId="1" applyNumberFormat="1" applyFont="1" applyBorder="1"/>
    <xf numFmtId="171" fontId="0" fillId="0" borderId="84" xfId="3" applyNumberFormat="1" applyFont="1" applyBorder="1"/>
    <xf numFmtId="171" fontId="0" fillId="0" borderId="85" xfId="3" applyNumberFormat="1" applyFont="1" applyBorder="1"/>
    <xf numFmtId="170" fontId="0" fillId="0" borderId="84" xfId="0" applyNumberFormat="1" applyBorder="1"/>
    <xf numFmtId="170" fontId="0" fillId="0" borderId="85" xfId="0" applyNumberFormat="1" applyBorder="1"/>
    <xf numFmtId="0" fontId="3" fillId="0" borderId="83" xfId="2" applyNumberFormat="1" applyFont="1" applyBorder="1" applyAlignment="1">
      <alignment horizontal="center"/>
    </xf>
    <xf numFmtId="0" fontId="3" fillId="0" borderId="84" xfId="2" applyNumberFormat="1" applyFont="1" applyBorder="1" applyAlignment="1">
      <alignment horizontal="center"/>
    </xf>
    <xf numFmtId="0" fontId="3" fillId="0" borderId="85" xfId="2" applyNumberFormat="1" applyFont="1" applyBorder="1" applyAlignment="1">
      <alignment horizontal="center"/>
    </xf>
    <xf numFmtId="0" fontId="3" fillId="0" borderId="38" xfId="1" applyNumberFormat="1" applyFont="1" applyFill="1" applyBorder="1" applyAlignment="1">
      <alignment horizontal="center"/>
    </xf>
    <xf numFmtId="0" fontId="42" fillId="16" borderId="60" xfId="0" applyFont="1" applyFill="1" applyBorder="1" applyAlignment="1">
      <alignment horizontal="left"/>
    </xf>
    <xf numFmtId="0" fontId="42" fillId="16" borderId="91" xfId="0" applyFont="1" applyFill="1" applyBorder="1" applyAlignment="1">
      <alignment horizontal="left"/>
    </xf>
    <xf numFmtId="0" fontId="41" fillId="16" borderId="91" xfId="0" applyFont="1" applyFill="1" applyBorder="1" applyAlignment="1">
      <alignment horizontal="right"/>
    </xf>
    <xf numFmtId="9" fontId="3" fillId="0" borderId="0" xfId="3" applyFont="1"/>
    <xf numFmtId="3" fontId="6" fillId="0" borderId="0" xfId="0" applyNumberFormat="1" applyFont="1" applyAlignment="1">
      <alignment horizontal="center"/>
    </xf>
    <xf numFmtId="178" fontId="0" fillId="0" borderId="8" xfId="3" applyNumberFormat="1" applyFont="1" applyBorder="1"/>
    <xf numFmtId="3" fontId="0" fillId="12" borderId="8" xfId="0" applyNumberFormat="1" applyFont="1" applyFill="1" applyBorder="1"/>
    <xf numFmtId="3" fontId="0" fillId="0" borderId="67" xfId="0" applyNumberFormat="1" applyFont="1" applyBorder="1"/>
    <xf numFmtId="3" fontId="0" fillId="12" borderId="67" xfId="0" applyNumberFormat="1" applyFont="1" applyFill="1" applyBorder="1"/>
    <xf numFmtId="3" fontId="0" fillId="0" borderId="28" xfId="0" applyNumberFormat="1" applyFont="1" applyBorder="1"/>
    <xf numFmtId="3" fontId="43" fillId="0" borderId="8" xfId="0" applyNumberFormat="1" applyFont="1" applyBorder="1"/>
    <xf numFmtId="3" fontId="43" fillId="12" borderId="8" xfId="0" applyNumberFormat="1" applyFont="1" applyFill="1" applyBorder="1"/>
    <xf numFmtId="3" fontId="3" fillId="0" borderId="8" xfId="0" applyNumberFormat="1" applyFont="1" applyBorder="1"/>
    <xf numFmtId="3" fontId="3" fillId="12" borderId="8" xfId="0" applyNumberFormat="1" applyFont="1" applyFill="1" applyBorder="1"/>
    <xf numFmtId="0" fontId="44" fillId="0" borderId="0" xfId="0" applyFont="1"/>
    <xf numFmtId="179" fontId="6" fillId="0" borderId="0" xfId="0" applyNumberFormat="1" applyFont="1"/>
    <xf numFmtId="175" fontId="6" fillId="0" borderId="8" xfId="0" applyNumberFormat="1" applyFont="1" applyBorder="1"/>
    <xf numFmtId="0" fontId="45" fillId="0" borderId="0" xfId="0" applyNumberFormat="1" applyFont="1"/>
    <xf numFmtId="166" fontId="46" fillId="0" borderId="8" xfId="0" applyNumberFormat="1" applyFont="1" applyBorder="1"/>
    <xf numFmtId="3" fontId="0" fillId="0" borderId="94" xfId="0" applyNumberFormat="1" applyFont="1" applyBorder="1"/>
    <xf numFmtId="3" fontId="0" fillId="12" borderId="94" xfId="0" applyNumberFormat="1" applyFont="1" applyFill="1" applyBorder="1"/>
    <xf numFmtId="167" fontId="0" fillId="0" borderId="67" xfId="1" applyNumberFormat="1" applyFont="1" applyBorder="1" applyAlignment="1">
      <alignment horizontal="justify" vertical="center"/>
    </xf>
    <xf numFmtId="167" fontId="0" fillId="0" borderId="95" xfId="1" applyNumberFormat="1" applyFont="1" applyBorder="1" applyAlignment="1">
      <alignment horizontal="justify" vertical="center"/>
    </xf>
    <xf numFmtId="167" fontId="0" fillId="0" borderId="59" xfId="1" applyNumberFormat="1" applyFont="1" applyBorder="1" applyAlignment="1">
      <alignment horizontal="justify" vertical="center"/>
    </xf>
    <xf numFmtId="167" fontId="0" fillId="0" borderId="59" xfId="1" applyNumberFormat="1" applyFont="1" applyBorder="1"/>
    <xf numFmtId="167" fontId="0" fillId="0" borderId="15" xfId="1" applyNumberFormat="1" applyFont="1" applyBorder="1"/>
    <xf numFmtId="167" fontId="0" fillId="0" borderId="22" xfId="1" applyNumberFormat="1" applyFont="1" applyBorder="1"/>
    <xf numFmtId="167" fontId="0" fillId="0" borderId="94" xfId="1" applyNumberFormat="1" applyFont="1" applyBorder="1" applyAlignment="1">
      <alignment horizontal="justify" vertical="center"/>
    </xf>
    <xf numFmtId="43" fontId="0" fillId="0" borderId="0" xfId="1" applyFont="1"/>
    <xf numFmtId="8" fontId="0" fillId="0" borderId="0" xfId="0" applyNumberFormat="1"/>
    <xf numFmtId="9" fontId="0" fillId="0" borderId="0" xfId="0" applyNumberFormat="1"/>
    <xf numFmtId="0" fontId="23" fillId="0" borderId="0" xfId="24"/>
    <xf numFmtId="0" fontId="24" fillId="0" borderId="0" xfId="26" applyNumberFormat="1" applyFont="1" applyAlignment="1">
      <alignment horizontal="center" vertical="center"/>
    </xf>
    <xf numFmtId="0" fontId="24" fillId="0" borderId="0" xfId="26" applyNumberFormat="1" applyFont="1" applyAlignment="1">
      <alignment horizontal="center" vertical="center" wrapText="1"/>
    </xf>
    <xf numFmtId="4" fontId="24" fillId="0" borderId="0" xfId="26" applyNumberFormat="1" applyFont="1"/>
    <xf numFmtId="4" fontId="49" fillId="0" borderId="0" xfId="26" applyNumberFormat="1" applyFont="1"/>
    <xf numFmtId="4" fontId="24" fillId="0" borderId="0" xfId="26" applyNumberFormat="1" applyFont="1" applyAlignment="1">
      <alignment vertical="center"/>
    </xf>
    <xf numFmtId="4" fontId="50" fillId="0" borderId="0" xfId="26" applyNumberFormat="1" applyFont="1" applyAlignment="1">
      <alignment horizontal="center" vertical="center"/>
    </xf>
    <xf numFmtId="4" fontId="51" fillId="0" borderId="0" xfId="26" applyNumberFormat="1" applyFont="1" applyAlignment="1">
      <alignment vertical="center"/>
    </xf>
    <xf numFmtId="4" fontId="50" fillId="0" borderId="0" xfId="26" applyNumberFormat="1" applyFont="1" applyAlignment="1">
      <alignment vertical="center"/>
    </xf>
    <xf numFmtId="4" fontId="24" fillId="0" borderId="0" xfId="26" applyNumberFormat="1" applyFont="1" applyFill="1" applyAlignment="1">
      <alignment vertical="center"/>
    </xf>
    <xf numFmtId="4" fontId="49" fillId="0" borderId="0" xfId="26" applyNumberFormat="1" applyFont="1" applyAlignment="1">
      <alignment vertical="center"/>
    </xf>
    <xf numFmtId="4" fontId="50" fillId="0" borderId="0" xfId="26" applyNumberFormat="1" applyFont="1" applyFill="1" applyAlignment="1">
      <alignment horizontal="center" vertical="center"/>
    </xf>
    <xf numFmtId="10" fontId="24" fillId="0" borderId="0" xfId="26" applyNumberFormat="1" applyFont="1" applyAlignment="1">
      <alignment horizontal="center"/>
    </xf>
    <xf numFmtId="181" fontId="24" fillId="0" borderId="0" xfId="26" applyNumberFormat="1" applyFont="1"/>
    <xf numFmtId="10" fontId="24" fillId="21" borderId="0" xfId="27" applyNumberFormat="1" applyFont="1" applyFill="1"/>
    <xf numFmtId="3" fontId="24" fillId="0" borderId="0" xfId="26" applyNumberFormat="1" applyFont="1" applyAlignment="1">
      <alignment horizontal="center"/>
    </xf>
    <xf numFmtId="4" fontId="49" fillId="0" borderId="0" xfId="27" applyNumberFormat="1" applyFont="1"/>
    <xf numFmtId="10" fontId="24" fillId="8" borderId="0" xfId="27" applyNumberFormat="1" applyFont="1" applyFill="1"/>
    <xf numFmtId="4" fontId="51" fillId="0" borderId="0" xfId="26" applyNumberFormat="1" applyFont="1"/>
    <xf numFmtId="10" fontId="24" fillId="22" borderId="8" xfId="25" applyNumberFormat="1" applyFont="1" applyFill="1" applyBorder="1" applyAlignment="1"/>
    <xf numFmtId="4" fontId="52" fillId="0" borderId="0" xfId="26" applyNumberFormat="1" applyFont="1" applyAlignment="1">
      <alignment vertical="center"/>
    </xf>
    <xf numFmtId="10" fontId="50" fillId="0" borderId="0" xfId="27" applyNumberFormat="1" applyFont="1" applyFill="1" applyAlignment="1">
      <alignment horizontal="center" vertical="center"/>
    </xf>
    <xf numFmtId="180" fontId="50" fillId="0" borderId="0" xfId="26" applyNumberFormat="1" applyFont="1" applyFill="1" applyAlignment="1">
      <alignment horizontal="center" vertical="center"/>
    </xf>
    <xf numFmtId="10" fontId="24" fillId="4" borderId="8" xfId="25" applyNumberFormat="1" applyFont="1" applyFill="1" applyBorder="1" applyAlignment="1"/>
    <xf numFmtId="44" fontId="0" fillId="0" borderId="0" xfId="2" applyFont="1"/>
    <xf numFmtId="0" fontId="53" fillId="0" borderId="0" xfId="0" applyFont="1"/>
    <xf numFmtId="0" fontId="54" fillId="23" borderId="97" xfId="0" applyFont="1" applyFill="1" applyBorder="1" applyAlignment="1">
      <alignment horizontal="center" vertical="center" wrapText="1" readingOrder="1"/>
    </xf>
    <xf numFmtId="0" fontId="54" fillId="23" borderId="98" xfId="0" applyFont="1" applyFill="1" applyBorder="1" applyAlignment="1">
      <alignment horizontal="right" vertical="top" wrapText="1" readingOrder="1"/>
    </xf>
    <xf numFmtId="0" fontId="53" fillId="0" borderId="99" xfId="0" applyFont="1" applyBorder="1" applyAlignment="1">
      <alignment horizontal="right" wrapText="1" readingOrder="1"/>
    </xf>
    <xf numFmtId="0" fontId="54" fillId="23" borderId="100" xfId="0" applyFont="1" applyFill="1" applyBorder="1" applyAlignment="1">
      <alignment horizontal="center" vertical="center" wrapText="1" readingOrder="1"/>
    </xf>
    <xf numFmtId="0" fontId="53" fillId="0" borderId="101" xfId="0" applyFont="1" applyBorder="1" applyAlignment="1">
      <alignment horizontal="right" wrapText="1" readingOrder="1"/>
    </xf>
    <xf numFmtId="0" fontId="53" fillId="0" borderId="102" xfId="0" applyFont="1" applyBorder="1" applyAlignment="1">
      <alignment horizontal="right" wrapText="1" readingOrder="1"/>
    </xf>
    <xf numFmtId="0" fontId="54" fillId="23" borderId="103" xfId="0" applyFont="1" applyFill="1" applyBorder="1" applyAlignment="1">
      <alignment horizontal="right" vertical="top" wrapText="1" readingOrder="1"/>
    </xf>
    <xf numFmtId="44" fontId="53" fillId="0" borderId="104" xfId="2" applyNumberFormat="1" applyFont="1" applyBorder="1" applyAlignment="1">
      <alignment horizontal="right" wrapText="1" readingOrder="1"/>
    </xf>
    <xf numFmtId="44" fontId="53" fillId="0" borderId="105" xfId="2" applyNumberFormat="1" applyFont="1" applyBorder="1" applyAlignment="1">
      <alignment horizontal="right" wrapText="1" readingOrder="1"/>
    </xf>
    <xf numFmtId="3" fontId="16" fillId="3" borderId="107" xfId="0" applyNumberFormat="1" applyFont="1" applyFill="1" applyBorder="1" applyAlignment="1">
      <alignment horizontal="center"/>
    </xf>
    <xf numFmtId="3" fontId="16" fillId="3" borderId="108" xfId="0" applyNumberFormat="1" applyFont="1" applyFill="1" applyBorder="1" applyAlignment="1">
      <alignment horizontal="center"/>
    </xf>
    <xf numFmtId="167" fontId="0" fillId="0" borderId="0" xfId="0" applyNumberFormat="1"/>
    <xf numFmtId="179" fontId="0" fillId="0" borderId="0" xfId="0" applyNumberFormat="1"/>
    <xf numFmtId="167" fontId="0" fillId="2" borderId="0" xfId="1" applyNumberFormat="1" applyFont="1" applyFill="1"/>
    <xf numFmtId="44" fontId="6" fillId="0" borderId="8" xfId="2" applyNumberFormat="1" applyFont="1" applyBorder="1"/>
    <xf numFmtId="166" fontId="3" fillId="0" borderId="8" xfId="2" applyNumberFormat="1" applyFont="1" applyBorder="1"/>
    <xf numFmtId="166" fontId="0" fillId="0" borderId="109" xfId="2" applyNumberFormat="1" applyFont="1" applyBorder="1"/>
    <xf numFmtId="10" fontId="6" fillId="0" borderId="110" xfId="3" applyNumberFormat="1" applyFont="1" applyBorder="1"/>
    <xf numFmtId="166" fontId="0" fillId="0" borderId="110" xfId="2" applyNumberFormat="1" applyFont="1" applyBorder="1"/>
    <xf numFmtId="166" fontId="0" fillId="0" borderId="111" xfId="2" applyNumberFormat="1" applyFont="1" applyBorder="1"/>
    <xf numFmtId="166" fontId="0" fillId="0" borderId="31" xfId="2" applyNumberFormat="1" applyFont="1" applyBorder="1"/>
    <xf numFmtId="166" fontId="0" fillId="0" borderId="9" xfId="2" applyNumberFormat="1" applyFont="1" applyBorder="1"/>
    <xf numFmtId="166" fontId="0" fillId="0" borderId="30" xfId="2" applyNumberFormat="1" applyFont="1" applyBorder="1"/>
    <xf numFmtId="10" fontId="6" fillId="0" borderId="11" xfId="3" applyNumberFormat="1" applyFont="1" applyBorder="1"/>
    <xf numFmtId="166" fontId="0" fillId="0" borderId="11" xfId="2" applyNumberFormat="1" applyFont="1" applyBorder="1"/>
    <xf numFmtId="166" fontId="0" fillId="0" borderId="12" xfId="2" applyNumberFormat="1" applyFont="1" applyBorder="1"/>
    <xf numFmtId="0" fontId="3" fillId="3" borderId="0" xfId="0" applyFont="1" applyFill="1" applyAlignment="1"/>
    <xf numFmtId="3" fontId="0" fillId="6" borderId="0" xfId="0" applyNumberFormat="1" applyFill="1"/>
    <xf numFmtId="0" fontId="9" fillId="8" borderId="19" xfId="0" applyFont="1" applyFill="1" applyBorder="1" applyAlignment="1">
      <alignment horizontal="center" vertical="center" wrapText="1"/>
    </xf>
    <xf numFmtId="0" fontId="9" fillId="8" borderId="20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justify" vertical="top" wrapText="1"/>
    </xf>
    <xf numFmtId="0" fontId="53" fillId="0" borderId="0" xfId="0" applyFont="1" applyAlignment="1">
      <alignment horizontal="right" wrapText="1"/>
    </xf>
    <xf numFmtId="0" fontId="53" fillId="0" borderId="0" xfId="0" applyFont="1" applyAlignment="1">
      <alignment horizontal="left" vertical="top" wrapText="1"/>
    </xf>
    <xf numFmtId="3" fontId="10" fillId="11" borderId="0" xfId="0" applyNumberFormat="1" applyFont="1" applyFill="1" applyAlignment="1">
      <alignment horizontal="center"/>
    </xf>
    <xf numFmtId="3" fontId="10" fillId="11" borderId="25" xfId="0" applyNumberFormat="1" applyFont="1" applyFill="1" applyBorder="1" applyAlignment="1">
      <alignment horizontal="center"/>
    </xf>
    <xf numFmtId="3" fontId="10" fillId="11" borderId="0" xfId="0" applyNumberFormat="1" applyFont="1" applyFill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20" borderId="75" xfId="0" applyFill="1" applyBorder="1" applyAlignment="1">
      <alignment horizontal="center"/>
    </xf>
    <xf numFmtId="0" fontId="0" fillId="20" borderId="82" xfId="0" applyFill="1" applyBorder="1" applyAlignment="1">
      <alignment horizontal="center"/>
    </xf>
    <xf numFmtId="0" fontId="4" fillId="20" borderId="90" xfId="0" applyFont="1" applyFill="1" applyBorder="1" applyAlignment="1">
      <alignment horizontal="center" vertical="center" wrapText="1"/>
    </xf>
    <xf numFmtId="0" fontId="4" fillId="20" borderId="91" xfId="0" applyFont="1" applyFill="1" applyBorder="1" applyAlignment="1">
      <alignment horizontal="center" vertical="center" wrapText="1"/>
    </xf>
    <xf numFmtId="0" fontId="4" fillId="20" borderId="92" xfId="0" applyFont="1" applyFill="1" applyBorder="1" applyAlignment="1">
      <alignment horizontal="center" vertical="center" wrapText="1"/>
    </xf>
    <xf numFmtId="0" fontId="60" fillId="3" borderId="0" xfId="0" applyFont="1" applyFill="1" applyAlignment="1">
      <alignment horizontal="left"/>
    </xf>
    <xf numFmtId="0" fontId="59" fillId="0" borderId="0" xfId="0" applyFont="1"/>
    <xf numFmtId="0" fontId="62" fillId="3" borderId="42" xfId="0" applyFont="1" applyFill="1" applyBorder="1" applyAlignment="1">
      <alignment horizontal="center" vertical="center"/>
    </xf>
    <xf numFmtId="0" fontId="62" fillId="3" borderId="45" xfId="0" applyFont="1" applyFill="1" applyBorder="1" applyAlignment="1">
      <alignment horizontal="center" vertical="center"/>
    </xf>
    <xf numFmtId="0" fontId="59" fillId="3" borderId="34" xfId="0" applyFont="1" applyFill="1" applyBorder="1" applyAlignment="1">
      <alignment horizontal="center" vertical="center"/>
    </xf>
    <xf numFmtId="0" fontId="59" fillId="3" borderId="46" xfId="0" applyFont="1" applyFill="1" applyBorder="1" applyAlignment="1">
      <alignment horizontal="center" vertical="center"/>
    </xf>
    <xf numFmtId="44" fontId="59" fillId="3" borderId="34" xfId="2" applyFont="1" applyFill="1" applyBorder="1" applyAlignment="1">
      <alignment horizontal="center" vertical="center"/>
    </xf>
    <xf numFmtId="44" fontId="59" fillId="3" borderId="46" xfId="2" applyFont="1" applyFill="1" applyBorder="1" applyAlignment="1">
      <alignment horizontal="center" vertical="center"/>
    </xf>
    <xf numFmtId="3" fontId="59" fillId="3" borderId="34" xfId="0" applyNumberFormat="1" applyFont="1" applyFill="1" applyBorder="1" applyAlignment="1">
      <alignment horizontal="center" vertical="center"/>
    </xf>
    <xf numFmtId="3" fontId="59" fillId="3" borderId="46" xfId="0" applyNumberFormat="1" applyFont="1" applyFill="1" applyBorder="1" applyAlignment="1">
      <alignment horizontal="center" vertical="center"/>
    </xf>
    <xf numFmtId="166" fontId="59" fillId="3" borderId="34" xfId="2" applyNumberFormat="1" applyFont="1" applyFill="1" applyBorder="1" applyAlignment="1">
      <alignment horizontal="center" vertical="center"/>
    </xf>
    <xf numFmtId="166" fontId="59" fillId="3" borderId="46" xfId="2" applyNumberFormat="1" applyFont="1" applyFill="1" applyBorder="1" applyAlignment="1">
      <alignment horizontal="center" vertical="center"/>
    </xf>
    <xf numFmtId="172" fontId="63" fillId="3" borderId="1" xfId="15" applyNumberFormat="1" applyFont="1" applyFill="1" applyBorder="1" applyAlignment="1">
      <alignment horizontal="center" vertical="center"/>
    </xf>
    <xf numFmtId="172" fontId="63" fillId="3" borderId="3" xfId="15" applyNumberFormat="1" applyFont="1" applyFill="1" applyBorder="1" applyAlignment="1">
      <alignment horizontal="center" vertical="center"/>
    </xf>
    <xf numFmtId="0" fontId="59" fillId="3" borderId="47" xfId="0" applyFont="1" applyFill="1" applyBorder="1" applyAlignment="1">
      <alignment horizontal="center" vertical="center"/>
    </xf>
    <xf numFmtId="0" fontId="59" fillId="3" borderId="48" xfId="0" applyFont="1" applyFill="1" applyBorder="1" applyAlignment="1">
      <alignment horizontal="center" vertical="center"/>
    </xf>
    <xf numFmtId="0" fontId="59" fillId="3" borderId="0" xfId="0" applyFont="1" applyFill="1" applyBorder="1" applyAlignment="1">
      <alignment horizontal="center" vertical="center"/>
    </xf>
    <xf numFmtId="0" fontId="59" fillId="3" borderId="52" xfId="0" applyFont="1" applyFill="1" applyBorder="1" applyAlignment="1">
      <alignment horizontal="center" vertical="center"/>
    </xf>
    <xf numFmtId="0" fontId="59" fillId="3" borderId="53" xfId="0" applyFont="1" applyFill="1" applyBorder="1" applyAlignment="1">
      <alignment horizontal="center" vertical="center"/>
    </xf>
    <xf numFmtId="0" fontId="59" fillId="0" borderId="30" xfId="0" applyFont="1" applyFill="1" applyBorder="1" applyAlignment="1">
      <alignment horizontal="center" vertical="center"/>
    </xf>
    <xf numFmtId="0" fontId="59" fillId="0" borderId="11" xfId="0" applyFont="1" applyFill="1" applyBorder="1" applyAlignment="1">
      <alignment horizontal="center" vertical="center"/>
    </xf>
    <xf numFmtId="0" fontId="59" fillId="0" borderId="55" xfId="0" applyFont="1" applyFill="1" applyBorder="1" applyAlignment="1">
      <alignment horizontal="justify" vertical="center"/>
    </xf>
    <xf numFmtId="0" fontId="59" fillId="0" borderId="56" xfId="0" applyFont="1" applyFill="1" applyBorder="1" applyAlignment="1">
      <alignment horizontal="justify" vertical="center"/>
    </xf>
    <xf numFmtId="0" fontId="59" fillId="0" borderId="31" xfId="0" applyFont="1" applyBorder="1" applyAlignment="1">
      <alignment horizontal="center"/>
    </xf>
    <xf numFmtId="0" fontId="59" fillId="0" borderId="17" xfId="0" applyFont="1" applyBorder="1" applyAlignment="1">
      <alignment horizontal="center"/>
    </xf>
    <xf numFmtId="0" fontId="59" fillId="0" borderId="31" xfId="0" applyFont="1" applyFill="1" applyBorder="1" applyAlignment="1">
      <alignment horizontal="center"/>
    </xf>
    <xf numFmtId="0" fontId="59" fillId="0" borderId="17" xfId="0" applyFont="1" applyFill="1" applyBorder="1" applyAlignment="1">
      <alignment horizontal="center"/>
    </xf>
    <xf numFmtId="0" fontId="59" fillId="0" borderId="30" xfId="0" applyFont="1" applyFill="1" applyBorder="1" applyAlignment="1">
      <alignment horizontal="center"/>
    </xf>
    <xf numFmtId="0" fontId="59" fillId="0" borderId="72" xfId="0" applyFont="1" applyFill="1" applyBorder="1" applyAlignment="1">
      <alignment horizontal="center"/>
    </xf>
    <xf numFmtId="0" fontId="23" fillId="0" borderId="25" xfId="0" applyFont="1" applyFill="1" applyBorder="1" applyAlignment="1">
      <alignment horizontal="justify" vertical="center"/>
    </xf>
    <xf numFmtId="0" fontId="59" fillId="0" borderId="0" xfId="0" applyFont="1" applyBorder="1"/>
    <xf numFmtId="166" fontId="23" fillId="3" borderId="16" xfId="2" applyNumberFormat="1" applyFont="1" applyFill="1" applyBorder="1" applyAlignment="1">
      <alignment horizontal="center" vertical="center"/>
    </xf>
    <xf numFmtId="166" fontId="23" fillId="3" borderId="6" xfId="2" applyNumberFormat="1" applyFont="1" applyFill="1" applyBorder="1" applyAlignment="1">
      <alignment horizontal="center" vertical="center"/>
    </xf>
    <xf numFmtId="0" fontId="60" fillId="3" borderId="31" xfId="0" quotePrefix="1" applyFont="1" applyFill="1" applyBorder="1" applyAlignment="1">
      <alignment horizontal="center"/>
    </xf>
    <xf numFmtId="0" fontId="60" fillId="3" borderId="9" xfId="0" quotePrefix="1" applyFont="1" applyFill="1" applyBorder="1" applyAlignment="1">
      <alignment horizontal="center"/>
    </xf>
    <xf numFmtId="0" fontId="60" fillId="3" borderId="30" xfId="0" applyFont="1" applyFill="1" applyBorder="1" applyAlignment="1">
      <alignment horizontal="center"/>
    </xf>
    <xf numFmtId="0" fontId="60" fillId="3" borderId="12" xfId="0" quotePrefix="1" applyFont="1" applyFill="1" applyBorder="1" applyAlignment="1">
      <alignment horizontal="center"/>
    </xf>
    <xf numFmtId="0" fontId="60" fillId="0" borderId="0" xfId="0" quotePrefix="1" applyFont="1" applyBorder="1" applyAlignment="1">
      <alignment horizontal="left"/>
    </xf>
    <xf numFmtId="0" fontId="60" fillId="0" borderId="0" xfId="0" applyFont="1" applyAlignment="1">
      <alignment horizontal="left"/>
    </xf>
    <xf numFmtId="0" fontId="59" fillId="3" borderId="16" xfId="0" applyFont="1" applyFill="1" applyBorder="1" applyAlignment="1">
      <alignment horizontal="center"/>
    </xf>
    <xf numFmtId="0" fontId="59" fillId="3" borderId="6" xfId="0" applyFont="1" applyFill="1" applyBorder="1" applyAlignment="1">
      <alignment horizontal="center"/>
    </xf>
    <xf numFmtId="0" fontId="59" fillId="3" borderId="31" xfId="0" applyFont="1" applyFill="1" applyBorder="1" applyAlignment="1">
      <alignment horizontal="center"/>
    </xf>
    <xf numFmtId="0" fontId="59" fillId="3" borderId="9" xfId="0" applyFont="1" applyFill="1" applyBorder="1" applyAlignment="1">
      <alignment horizontal="center"/>
    </xf>
    <xf numFmtId="0" fontId="59" fillId="3" borderId="30" xfId="0" applyFont="1" applyFill="1" applyBorder="1" applyAlignment="1">
      <alignment horizontal="center"/>
    </xf>
    <xf numFmtId="0" fontId="59" fillId="3" borderId="12" xfId="0" applyFont="1" applyFill="1" applyBorder="1" applyAlignment="1">
      <alignment horizontal="center"/>
    </xf>
    <xf numFmtId="0" fontId="59" fillId="0" borderId="25" xfId="0" applyFont="1" applyBorder="1"/>
    <xf numFmtId="0" fontId="59" fillId="3" borderId="1" xfId="0" applyFont="1" applyFill="1" applyBorder="1" applyAlignment="1">
      <alignment horizontal="center"/>
    </xf>
    <xf numFmtId="0" fontId="59" fillId="3" borderId="3" xfId="0" applyFont="1" applyFill="1" applyBorder="1" applyAlignment="1">
      <alignment horizontal="center"/>
    </xf>
    <xf numFmtId="0" fontId="60" fillId="3" borderId="13" xfId="0" applyFont="1" applyFill="1" applyBorder="1"/>
    <xf numFmtId="0" fontId="59" fillId="0" borderId="43" xfId="0" applyFont="1" applyBorder="1"/>
    <xf numFmtId="0" fontId="59" fillId="3" borderId="14" xfId="0" applyFont="1" applyFill="1" applyBorder="1"/>
    <xf numFmtId="0" fontId="59" fillId="0" borderId="18" xfId="0" applyFont="1" applyBorder="1"/>
    <xf numFmtId="0" fontId="60" fillId="3" borderId="15" xfId="0" applyFont="1" applyFill="1" applyBorder="1"/>
    <xf numFmtId="0" fontId="59" fillId="0" borderId="44" xfId="0" applyFont="1" applyBorder="1"/>
    <xf numFmtId="3" fontId="60" fillId="0" borderId="0" xfId="0" applyNumberFormat="1" applyFont="1" applyBorder="1" applyAlignment="1">
      <alignment vertical="center"/>
    </xf>
    <xf numFmtId="3" fontId="59" fillId="3" borderId="36" xfId="0" applyNumberFormat="1" applyFont="1" applyFill="1" applyBorder="1" applyAlignment="1">
      <alignment vertical="center"/>
    </xf>
    <xf numFmtId="0" fontId="59" fillId="0" borderId="26" xfId="0" applyFont="1" applyBorder="1"/>
    <xf numFmtId="3" fontId="59" fillId="3" borderId="39" xfId="0" applyNumberFormat="1" applyFont="1" applyFill="1" applyBorder="1" applyAlignment="1">
      <alignment vertical="center"/>
    </xf>
    <xf numFmtId="167" fontId="59" fillId="0" borderId="0" xfId="0" applyNumberFormat="1" applyFont="1" applyBorder="1"/>
    <xf numFmtId="8" fontId="59" fillId="0" borderId="0" xfId="0" applyNumberFormat="1" applyFont="1" applyBorder="1"/>
    <xf numFmtId="43" fontId="59" fillId="0" borderId="0" xfId="0" applyNumberFormat="1" applyFont="1" applyBorder="1"/>
    <xf numFmtId="0" fontId="59" fillId="3" borderId="39" xfId="0" applyFont="1" applyFill="1" applyBorder="1"/>
    <xf numFmtId="6" fontId="59" fillId="0" borderId="0" xfId="0" applyNumberFormat="1" applyFont="1" applyBorder="1"/>
    <xf numFmtId="9" fontId="59" fillId="3" borderId="39" xfId="0" applyNumberFormat="1" applyFont="1" applyFill="1" applyBorder="1"/>
    <xf numFmtId="0" fontId="59" fillId="3" borderId="37" xfId="0" applyFont="1" applyFill="1" applyBorder="1"/>
    <xf numFmtId="0" fontId="59" fillId="0" borderId="41" xfId="0" applyFont="1" applyBorder="1"/>
    <xf numFmtId="0" fontId="64" fillId="0" borderId="0" xfId="0" applyFont="1"/>
    <xf numFmtId="0" fontId="65" fillId="3" borderId="16" xfId="0" applyFont="1" applyFill="1" applyBorder="1" applyAlignment="1">
      <alignment vertical="center"/>
    </xf>
    <xf numFmtId="0" fontId="64" fillId="3" borderId="5" xfId="0" applyFont="1" applyFill="1" applyBorder="1" applyAlignment="1">
      <alignment horizontal="justify" vertical="center"/>
    </xf>
    <xf numFmtId="0" fontId="65" fillId="3" borderId="31" xfId="0" applyFont="1" applyFill="1" applyBorder="1" applyAlignment="1">
      <alignment vertical="center"/>
    </xf>
    <xf numFmtId="0" fontId="64" fillId="3" borderId="8" xfId="0" applyFont="1" applyFill="1" applyBorder="1" applyAlignment="1">
      <alignment horizontal="justify" vertical="center"/>
    </xf>
    <xf numFmtId="0" fontId="64" fillId="3" borderId="8" xfId="0" applyFont="1" applyFill="1" applyBorder="1" applyAlignment="1">
      <alignment vertical="center"/>
    </xf>
    <xf numFmtId="0" fontId="66" fillId="3" borderId="31" xfId="0" applyFont="1" applyFill="1" applyBorder="1" applyAlignment="1">
      <alignment vertical="center"/>
    </xf>
    <xf numFmtId="0" fontId="67" fillId="3" borderId="8" xfId="0" applyFont="1" applyFill="1" applyBorder="1" applyAlignment="1">
      <alignment vertical="center"/>
    </xf>
    <xf numFmtId="0" fontId="68" fillId="3" borderId="31" xfId="0" applyFont="1" applyFill="1" applyBorder="1" applyAlignment="1">
      <alignment vertical="center"/>
    </xf>
    <xf numFmtId="0" fontId="66" fillId="3" borderId="31" xfId="0" applyFont="1" applyFill="1" applyBorder="1" applyAlignment="1">
      <alignment vertical="center" wrapText="1"/>
    </xf>
    <xf numFmtId="0" fontId="69" fillId="3" borderId="8" xfId="0" applyFont="1" applyFill="1" applyBorder="1" applyAlignment="1">
      <alignment vertical="center"/>
    </xf>
    <xf numFmtId="0" fontId="70" fillId="3" borderId="30" xfId="0" applyFont="1" applyFill="1" applyBorder="1" applyAlignment="1">
      <alignment vertical="center"/>
    </xf>
    <xf numFmtId="0" fontId="69" fillId="3" borderId="11" xfId="0" applyFont="1" applyFill="1" applyBorder="1" applyAlignment="1">
      <alignment vertical="center"/>
    </xf>
    <xf numFmtId="0" fontId="60" fillId="6" borderId="53" xfId="0" applyNumberFormat="1" applyFont="1" applyFill="1" applyBorder="1" applyAlignment="1">
      <alignment horizontal="center"/>
    </xf>
    <xf numFmtId="0" fontId="60" fillId="6" borderId="11" xfId="0" applyFont="1" applyFill="1" applyBorder="1" applyAlignment="1">
      <alignment horizontal="center"/>
    </xf>
    <xf numFmtId="0" fontId="59" fillId="0" borderId="53" xfId="0" applyFont="1" applyBorder="1"/>
    <xf numFmtId="167" fontId="59" fillId="0" borderId="8" xfId="1" applyNumberFormat="1" applyFont="1" applyBorder="1" applyAlignment="1">
      <alignment horizontal="right"/>
    </xf>
    <xf numFmtId="167" fontId="59" fillId="0" borderId="31" xfId="1" applyNumberFormat="1" applyFont="1" applyBorder="1" applyAlignment="1">
      <alignment horizontal="center" vertical="center"/>
    </xf>
    <xf numFmtId="167" fontId="59" fillId="0" borderId="8" xfId="1" applyNumberFormat="1" applyFont="1" applyBorder="1"/>
    <xf numFmtId="167" fontId="59" fillId="0" borderId="8" xfId="1" applyNumberFormat="1" applyFont="1" applyBorder="1" applyAlignment="1">
      <alignment horizontal="justify" vertical="center"/>
    </xf>
    <xf numFmtId="167" fontId="71" fillId="0" borderId="8" xfId="1" applyNumberFormat="1" applyFont="1" applyBorder="1" applyAlignment="1">
      <alignment horizontal="justify" vertical="center"/>
    </xf>
    <xf numFmtId="167" fontId="59" fillId="12" borderId="8" xfId="1" applyNumberFormat="1" applyFont="1" applyFill="1" applyBorder="1"/>
    <xf numFmtId="167" fontId="59" fillId="12" borderId="49" xfId="1" applyNumberFormat="1" applyFont="1" applyFill="1" applyBorder="1"/>
    <xf numFmtId="167" fontId="59" fillId="0" borderId="67" xfId="1" applyNumberFormat="1" applyFont="1" applyBorder="1" applyAlignment="1">
      <alignment horizontal="justify" vertical="center"/>
    </xf>
    <xf numFmtId="167" fontId="59" fillId="0" borderId="67" xfId="1" applyNumberFormat="1" applyFont="1" applyBorder="1" applyAlignment="1">
      <alignment horizontal="right"/>
    </xf>
    <xf numFmtId="167" fontId="59" fillId="0" borderId="30" xfId="1" applyNumberFormat="1" applyFont="1" applyBorder="1"/>
    <xf numFmtId="167" fontId="59" fillId="0" borderId="0" xfId="1" applyNumberFormat="1" applyFont="1" applyBorder="1"/>
    <xf numFmtId="167" fontId="59" fillId="0" borderId="53" xfId="1" applyNumberFormat="1" applyFont="1" applyBorder="1"/>
    <xf numFmtId="0" fontId="59" fillId="0" borderId="11" xfId="0" applyFont="1" applyBorder="1"/>
    <xf numFmtId="167" fontId="59" fillId="0" borderId="28" xfId="1" applyNumberFormat="1" applyFont="1" applyBorder="1"/>
    <xf numFmtId="173" fontId="59" fillId="0" borderId="8" xfId="0" applyNumberFormat="1" applyFont="1" applyBorder="1"/>
    <xf numFmtId="0" fontId="59" fillId="0" borderId="8" xfId="0" applyFont="1" applyBorder="1"/>
    <xf numFmtId="165" fontId="59" fillId="0" borderId="8" xfId="14" applyFont="1" applyBorder="1"/>
    <xf numFmtId="166" fontId="59" fillId="0" borderId="5" xfId="2" applyNumberFormat="1" applyFont="1" applyBorder="1"/>
    <xf numFmtId="10" fontId="18" fillId="0" borderId="8" xfId="3" applyNumberFormat="1" applyFont="1" applyBorder="1"/>
    <xf numFmtId="2" fontId="18" fillId="0" borderId="11" xfId="3" applyNumberFormat="1" applyFont="1" applyBorder="1"/>
    <xf numFmtId="2" fontId="18" fillId="0" borderId="0" xfId="3" applyNumberFormat="1" applyFont="1" applyBorder="1"/>
    <xf numFmtId="166" fontId="59" fillId="0" borderId="0" xfId="2" applyNumberFormat="1" applyFont="1"/>
    <xf numFmtId="167" fontId="59" fillId="0" borderId="84" xfId="0" applyNumberFormat="1" applyFont="1" applyBorder="1"/>
    <xf numFmtId="167" fontId="18" fillId="0" borderId="8" xfId="0" applyNumberFormat="1" applyFont="1" applyBorder="1"/>
    <xf numFmtId="166" fontId="18" fillId="0" borderId="8" xfId="2" applyNumberFormat="1" applyFont="1" applyBorder="1"/>
    <xf numFmtId="166" fontId="18" fillId="0" borderId="11" xfId="0" applyNumberFormat="1" applyFont="1" applyBorder="1"/>
    <xf numFmtId="166" fontId="59" fillId="0" borderId="0" xfId="0" applyNumberFormat="1" applyFont="1" applyBorder="1"/>
    <xf numFmtId="167" fontId="18" fillId="0" borderId="49" xfId="1" applyNumberFormat="1" applyFont="1" applyBorder="1"/>
    <xf numFmtId="166" fontId="18" fillId="0" borderId="0" xfId="2" applyNumberFormat="1" applyFont="1" applyBorder="1"/>
    <xf numFmtId="0" fontId="59" fillId="0" borderId="6" xfId="0" applyFont="1" applyBorder="1"/>
    <xf numFmtId="167" fontId="59" fillId="0" borderId="9" xfId="1" applyNumberFormat="1" applyFont="1" applyBorder="1"/>
    <xf numFmtId="167" fontId="17" fillId="0" borderId="12" xfId="0" applyNumberFormat="1" applyFont="1" applyBorder="1"/>
    <xf numFmtId="3" fontId="65" fillId="0" borderId="5" xfId="0" applyNumberFormat="1" applyFont="1" applyBorder="1" applyAlignment="1">
      <alignment horizontal="right" vertical="center"/>
    </xf>
    <xf numFmtId="3" fontId="65" fillId="0" borderId="8" xfId="0" applyNumberFormat="1" applyFont="1" applyBorder="1" applyAlignment="1">
      <alignment horizontal="right" vertical="center"/>
    </xf>
    <xf numFmtId="0" fontId="65" fillId="0" borderId="8" xfId="0" applyFont="1" applyBorder="1" applyAlignment="1">
      <alignment horizontal="right" vertical="center"/>
    </xf>
    <xf numFmtId="0" fontId="66" fillId="0" borderId="11" xfId="0" applyFont="1" applyBorder="1" applyAlignment="1">
      <alignment horizontal="right" vertical="center"/>
    </xf>
    <xf numFmtId="3" fontId="59" fillId="0" borderId="0" xfId="0" applyNumberFormat="1" applyFont="1"/>
    <xf numFmtId="3" fontId="18" fillId="0" borderId="0" xfId="0" applyNumberFormat="1" applyFont="1"/>
    <xf numFmtId="3" fontId="18" fillId="0" borderId="8" xfId="0" applyNumberFormat="1" applyFont="1" applyBorder="1"/>
    <xf numFmtId="3" fontId="59" fillId="0" borderId="8" xfId="0" applyNumberFormat="1" applyFont="1" applyBorder="1"/>
    <xf numFmtId="3" fontId="60" fillId="0" borderId="0" xfId="0" applyNumberFormat="1" applyFont="1" applyAlignment="1">
      <alignment horizontal="center"/>
    </xf>
    <xf numFmtId="3" fontId="60" fillId="3" borderId="8" xfId="0" applyNumberFormat="1" applyFont="1" applyFill="1" applyBorder="1"/>
    <xf numFmtId="3" fontId="17" fillId="0" borderId="8" xfId="0" applyNumberFormat="1" applyFont="1" applyBorder="1"/>
    <xf numFmtId="3" fontId="17" fillId="3" borderId="106" xfId="0" applyNumberFormat="1" applyFont="1" applyFill="1" applyBorder="1"/>
    <xf numFmtId="3" fontId="17" fillId="0" borderId="30" xfId="0" applyNumberFormat="1" applyFont="1" applyBorder="1"/>
    <xf numFmtId="3" fontId="72" fillId="0" borderId="0" xfId="0" applyNumberFormat="1" applyFont="1"/>
    <xf numFmtId="3" fontId="73" fillId="0" borderId="0" xfId="0" applyNumberFormat="1" applyFont="1"/>
    <xf numFmtId="0" fontId="59" fillId="4" borderId="0" xfId="0" quotePrefix="1" applyFont="1" applyFill="1" applyAlignment="1">
      <alignment horizontal="left"/>
    </xf>
    <xf numFmtId="0" fontId="59" fillId="4" borderId="0" xfId="0" applyFont="1" applyFill="1"/>
    <xf numFmtId="0" fontId="59" fillId="0" borderId="8" xfId="0" quotePrefix="1" applyFont="1" applyBorder="1" applyAlignment="1">
      <alignment horizontal="left"/>
    </xf>
    <xf numFmtId="0" fontId="18" fillId="0" borderId="8" xfId="0" applyFont="1" applyBorder="1"/>
    <xf numFmtId="0" fontId="59" fillId="0" borderId="8" xfId="0" applyFont="1" applyBorder="1" applyAlignment="1">
      <alignment wrapText="1"/>
    </xf>
    <xf numFmtId="0" fontId="74" fillId="2" borderId="0" xfId="0" applyFont="1" applyFill="1"/>
    <xf numFmtId="0" fontId="59" fillId="2" borderId="0" xfId="0" applyFont="1" applyFill="1"/>
    <xf numFmtId="0" fontId="59" fillId="5" borderId="0" xfId="0" applyFont="1" applyFill="1" applyBorder="1"/>
    <xf numFmtId="9" fontId="18" fillId="0" borderId="0" xfId="0" applyNumberFormat="1" applyFont="1"/>
    <xf numFmtId="0" fontId="18" fillId="0" borderId="0" xfId="0" applyFont="1"/>
    <xf numFmtId="0" fontId="23" fillId="0" borderId="0" xfId="0" applyFont="1" applyAlignment="1">
      <alignment horizontal="justify" vertical="center"/>
    </xf>
    <xf numFmtId="0" fontId="59" fillId="3" borderId="52" xfId="0" applyFont="1" applyFill="1" applyBorder="1" applyAlignment="1">
      <alignment horizontal="center"/>
    </xf>
    <xf numFmtId="0" fontId="59" fillId="3" borderId="54" xfId="0" applyFont="1" applyFill="1" applyBorder="1" applyAlignment="1">
      <alignment horizontal="center"/>
    </xf>
    <xf numFmtId="3" fontId="60" fillId="0" borderId="8" xfId="0" applyNumberFormat="1" applyFont="1" applyBorder="1"/>
    <xf numFmtId="3" fontId="17" fillId="3" borderId="16" xfId="0" applyNumberFormat="1" applyFont="1" applyFill="1" applyBorder="1"/>
    <xf numFmtId="0" fontId="59" fillId="0" borderId="0" xfId="0" applyNumberFormat="1" applyFont="1"/>
    <xf numFmtId="166" fontId="18" fillId="0" borderId="8" xfId="0" applyNumberFormat="1" applyFont="1" applyBorder="1"/>
    <xf numFmtId="167" fontId="18" fillId="0" borderId="0" xfId="1" applyNumberFormat="1" applyFont="1"/>
    <xf numFmtId="167" fontId="18" fillId="0" borderId="0" xfId="0" applyNumberFormat="1" applyFont="1"/>
    <xf numFmtId="167" fontId="59" fillId="0" borderId="0" xfId="1" applyNumberFormat="1" applyFont="1"/>
    <xf numFmtId="179" fontId="59" fillId="0" borderId="0" xfId="0" applyNumberFormat="1" applyFont="1"/>
    <xf numFmtId="0" fontId="75" fillId="0" borderId="0" xfId="0" applyFont="1"/>
    <xf numFmtId="9" fontId="18" fillId="0" borderId="8" xfId="0" applyNumberFormat="1" applyFont="1" applyBorder="1"/>
    <xf numFmtId="9" fontId="59" fillId="0" borderId="8" xfId="0" applyNumberFormat="1" applyFont="1" applyBorder="1"/>
    <xf numFmtId="0" fontId="59" fillId="2" borderId="0" xfId="0" applyNumberFormat="1" applyFont="1" applyFill="1"/>
    <xf numFmtId="8" fontId="18" fillId="0" borderId="8" xfId="0" applyNumberFormat="1" applyFont="1" applyBorder="1"/>
    <xf numFmtId="179" fontId="18" fillId="0" borderId="0" xfId="0" applyNumberFormat="1" applyFont="1"/>
    <xf numFmtId="175" fontId="18" fillId="0" borderId="8" xfId="0" applyNumberFormat="1" applyFont="1" applyBorder="1"/>
    <xf numFmtId="175" fontId="59" fillId="0" borderId="0" xfId="0" applyNumberFormat="1" applyFont="1"/>
    <xf numFmtId="3" fontId="59" fillId="3" borderId="64" xfId="0" applyNumberFormat="1" applyFont="1" applyFill="1" applyBorder="1" applyAlignment="1">
      <alignment horizontal="center" vertical="center"/>
    </xf>
    <xf numFmtId="3" fontId="59" fillId="3" borderId="65" xfId="0" applyNumberFormat="1" applyFont="1" applyFill="1" applyBorder="1" applyAlignment="1">
      <alignment horizontal="center" vertical="center"/>
    </xf>
    <xf numFmtId="0" fontId="59" fillId="3" borderId="68" xfId="0" applyFont="1" applyFill="1" applyBorder="1" applyAlignment="1">
      <alignment horizontal="center" vertical="center"/>
    </xf>
    <xf numFmtId="0" fontId="59" fillId="3" borderId="69" xfId="0" applyFont="1" applyFill="1" applyBorder="1" applyAlignment="1">
      <alignment horizontal="center" vertical="center"/>
    </xf>
    <xf numFmtId="0" fontId="59" fillId="3" borderId="7" xfId="0" applyFont="1" applyFill="1" applyBorder="1" applyAlignment="1">
      <alignment horizontal="center" vertical="center"/>
    </xf>
    <xf numFmtId="0" fontId="59" fillId="3" borderId="40" xfId="0" applyFont="1" applyFill="1" applyBorder="1" applyAlignment="1">
      <alignment horizontal="center" vertical="center"/>
    </xf>
    <xf numFmtId="0" fontId="59" fillId="3" borderId="64" xfId="0" applyFont="1" applyFill="1" applyBorder="1" applyAlignment="1">
      <alignment horizontal="center" vertical="center"/>
    </xf>
    <xf numFmtId="0" fontId="59" fillId="3" borderId="65" xfId="0" applyFont="1" applyFill="1" applyBorder="1" applyAlignment="1">
      <alignment horizontal="center" vertical="center"/>
    </xf>
    <xf numFmtId="0" fontId="59" fillId="3" borderId="52" xfId="0" applyFont="1" applyFill="1" applyBorder="1" applyAlignment="1">
      <alignment horizontal="justify" vertical="center"/>
    </xf>
    <xf numFmtId="0" fontId="59" fillId="3" borderId="54" xfId="0" applyFont="1" applyFill="1" applyBorder="1" applyAlignment="1">
      <alignment horizontal="justify" vertical="center"/>
    </xf>
    <xf numFmtId="0" fontId="59" fillId="3" borderId="55" xfId="0" applyFont="1" applyFill="1" applyBorder="1" applyAlignment="1">
      <alignment horizontal="justify" vertical="center"/>
    </xf>
    <xf numFmtId="0" fontId="59" fillId="3" borderId="29" xfId="0" applyFont="1" applyFill="1" applyBorder="1" applyAlignment="1">
      <alignment horizontal="justify" vertical="center"/>
    </xf>
    <xf numFmtId="0" fontId="59" fillId="0" borderId="29" xfId="0" applyFont="1" applyBorder="1"/>
    <xf numFmtId="0" fontId="59" fillId="0" borderId="9" xfId="0" applyFont="1" applyBorder="1"/>
    <xf numFmtId="0" fontId="59" fillId="0" borderId="35" xfId="0" applyFont="1" applyBorder="1"/>
    <xf numFmtId="0" fontId="60" fillId="3" borderId="12" xfId="0" applyFont="1" applyFill="1" applyBorder="1"/>
    <xf numFmtId="0" fontId="60" fillId="3" borderId="12" xfId="0" quotePrefix="1" applyFont="1" applyFill="1" applyBorder="1" applyAlignment="1">
      <alignment horizontal="left"/>
    </xf>
    <xf numFmtId="0" fontId="59" fillId="0" borderId="9" xfId="0" applyFont="1" applyFill="1" applyBorder="1" applyAlignment="1">
      <alignment horizontal="left"/>
    </xf>
    <xf numFmtId="0" fontId="59" fillId="0" borderId="6" xfId="0" applyFont="1" applyFill="1" applyBorder="1"/>
    <xf numFmtId="0" fontId="59" fillId="2" borderId="9" xfId="0" applyFont="1" applyFill="1" applyBorder="1" applyAlignment="1">
      <alignment horizontal="left"/>
    </xf>
    <xf numFmtId="0" fontId="76" fillId="0" borderId="9" xfId="0" applyFont="1" applyBorder="1"/>
    <xf numFmtId="0" fontId="59" fillId="4" borderId="0" xfId="0" applyFont="1" applyFill="1" applyBorder="1"/>
    <xf numFmtId="0" fontId="59" fillId="6" borderId="0" xfId="0" applyFont="1" applyFill="1"/>
    <xf numFmtId="0" fontId="60" fillId="0" borderId="0" xfId="0" applyFont="1"/>
    <xf numFmtId="0" fontId="78" fillId="14" borderId="8" xfId="4" applyFont="1" applyFill="1" applyBorder="1" applyAlignment="1" applyProtection="1">
      <alignment horizontal="center" vertical="center" wrapText="1"/>
      <protection hidden="1"/>
    </xf>
    <xf numFmtId="0" fontId="79" fillId="13" borderId="8" xfId="4" applyFont="1" applyFill="1" applyBorder="1" applyAlignment="1" applyProtection="1">
      <alignment horizontal="left" vertical="center" wrapText="1" indent="2"/>
      <protection hidden="1"/>
    </xf>
    <xf numFmtId="0" fontId="60" fillId="17" borderId="0" xfId="0" applyFont="1" applyFill="1" applyBorder="1" applyAlignment="1">
      <alignment horizontal="left"/>
    </xf>
    <xf numFmtId="0" fontId="80" fillId="0" borderId="0" xfId="0" applyFont="1" applyFill="1" applyBorder="1" applyAlignment="1">
      <alignment vertical="top" wrapText="1"/>
    </xf>
    <xf numFmtId="0" fontId="60" fillId="17" borderId="61" xfId="0" applyFont="1" applyFill="1" applyBorder="1" applyAlignment="1">
      <alignment horizontal="left"/>
    </xf>
    <xf numFmtId="0" fontId="59" fillId="0" borderId="61" xfId="0" applyFont="1" applyFill="1" applyBorder="1" applyAlignment="1"/>
    <xf numFmtId="0" fontId="59" fillId="18" borderId="0" xfId="0" applyFont="1" applyFill="1" applyBorder="1" applyAlignment="1"/>
    <xf numFmtId="0" fontId="60" fillId="17" borderId="93" xfId="0" applyFont="1" applyFill="1" applyBorder="1" applyAlignment="1">
      <alignment horizontal="left"/>
    </xf>
    <xf numFmtId="167" fontId="59" fillId="0" borderId="93" xfId="0" applyNumberFormat="1" applyFont="1" applyFill="1" applyBorder="1" applyAlignment="1"/>
    <xf numFmtId="167" fontId="59" fillId="0" borderId="93" xfId="1" applyNumberFormat="1" applyFont="1" applyFill="1" applyBorder="1" applyAlignment="1"/>
    <xf numFmtId="0" fontId="59" fillId="0" borderId="0" xfId="0" applyFont="1" applyAlignment="1">
      <alignment wrapText="1"/>
    </xf>
    <xf numFmtId="0" fontId="64" fillId="0" borderId="0" xfId="0" applyFont="1" applyAlignment="1">
      <alignment horizontal="justify" vertical="center" wrapText="1"/>
    </xf>
    <xf numFmtId="0" fontId="64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0" fontId="24" fillId="0" borderId="96" xfId="0" applyFont="1" applyBorder="1" applyAlignment="1">
      <alignment horizontal="left" wrapText="1"/>
    </xf>
    <xf numFmtId="4" fontId="68" fillId="0" borderId="8" xfId="0" applyNumberFormat="1" applyFont="1" applyBorder="1" applyAlignment="1">
      <alignment horizontal="right" vertical="center"/>
    </xf>
    <xf numFmtId="3" fontId="68" fillId="0" borderId="8" xfId="0" applyNumberFormat="1" applyFont="1" applyBorder="1" applyAlignment="1">
      <alignment horizontal="right" vertical="center"/>
    </xf>
    <xf numFmtId="3" fontId="68" fillId="0" borderId="9" xfId="0" applyNumberFormat="1" applyFont="1" applyBorder="1" applyAlignment="1">
      <alignment horizontal="right" vertical="center"/>
    </xf>
    <xf numFmtId="0" fontId="65" fillId="0" borderId="8" xfId="0" applyFont="1" applyBorder="1" applyAlignment="1">
      <alignment vertical="center"/>
    </xf>
    <xf numFmtId="3" fontId="65" fillId="0" borderId="9" xfId="0" applyNumberFormat="1" applyFont="1" applyBorder="1" applyAlignment="1">
      <alignment horizontal="right" vertical="center"/>
    </xf>
    <xf numFmtId="0" fontId="68" fillId="0" borderId="8" xfId="0" applyFont="1" applyBorder="1" applyAlignment="1">
      <alignment horizontal="right" vertical="center"/>
    </xf>
    <xf numFmtId="4" fontId="65" fillId="0" borderId="8" xfId="0" applyNumberFormat="1" applyFont="1" applyBorder="1" applyAlignment="1">
      <alignment horizontal="right" vertical="center"/>
    </xf>
    <xf numFmtId="3" fontId="70" fillId="0" borderId="8" xfId="0" applyNumberFormat="1" applyFont="1" applyBorder="1" applyAlignment="1">
      <alignment horizontal="right" vertical="center"/>
    </xf>
    <xf numFmtId="3" fontId="70" fillId="0" borderId="9" xfId="0" applyNumberFormat="1" applyFont="1" applyBorder="1" applyAlignment="1">
      <alignment horizontal="right" vertical="center"/>
    </xf>
    <xf numFmtId="4" fontId="66" fillId="0" borderId="11" xfId="0" applyNumberFormat="1" applyFont="1" applyBorder="1" applyAlignment="1">
      <alignment horizontal="right" vertical="center"/>
    </xf>
    <xf numFmtId="3" fontId="66" fillId="0" borderId="11" xfId="0" applyNumberFormat="1" applyFont="1" applyBorder="1" applyAlignment="1">
      <alignment horizontal="right" vertical="center"/>
    </xf>
    <xf numFmtId="0" fontId="66" fillId="0" borderId="11" xfId="0" applyFont="1" applyBorder="1" applyAlignment="1">
      <alignment vertical="center"/>
    </xf>
    <xf numFmtId="3" fontId="66" fillId="0" borderId="12" xfId="0" applyNumberFormat="1" applyFont="1" applyBorder="1" applyAlignment="1">
      <alignment horizontal="right" vertical="center"/>
    </xf>
  </cellXfs>
  <cellStyles count="29">
    <cellStyle name="Ecuación" xfId="5"/>
    <cellStyle name="FIGURA" xfId="6"/>
    <cellStyle name="Followed Hyperlink" xfId="7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yperlink" xfId="8"/>
    <cellStyle name="Millares" xfId="1" builtinId="3"/>
    <cellStyle name="Millares [0]" xfId="14" builtinId="6"/>
    <cellStyle name="Millares 2" xfId="25"/>
    <cellStyle name="Millares 3" xfId="28"/>
    <cellStyle name="Moneda" xfId="2" builtinId="4"/>
    <cellStyle name="Moneda [0]" xfId="15" builtinId="7"/>
    <cellStyle name="Normal" xfId="0" builtinId="0"/>
    <cellStyle name="Normal 2" xfId="4"/>
    <cellStyle name="Normal 3" xfId="24"/>
    <cellStyle name="Normal_IPP (2)" xfId="26"/>
    <cellStyle name="Porcentaje" xfId="3" builtinId="5"/>
    <cellStyle name="Porcentaje 2" xfId="27"/>
    <cellStyle name="Tit. tabla" xfId="9"/>
    <cellStyle name="TITULO 1" xfId="10"/>
    <cellStyle name="TITULO 2" xfId="11"/>
    <cellStyle name="TITULO 3" xfId="12"/>
    <cellStyle name="Viñeta" xfId="13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'F de CP'!$G$55:$AV$55</c:f>
              <c:numCache>
                <c:formatCode>_("$"\ * #,##0_);_("$"\ * \(#,##0\);_("$"\ * "-"??_);_(@_)</c:formatCode>
                <c:ptCount val="42"/>
                <c:pt idx="0">
                  <c:v>26251070460.416016</c:v>
                </c:pt>
                <c:pt idx="1">
                  <c:v>21581901313.498863</c:v>
                </c:pt>
                <c:pt idx="2">
                  <c:v>18774140456.302086</c:v>
                </c:pt>
                <c:pt idx="3">
                  <c:v>16873317437.896656</c:v>
                </c:pt>
                <c:pt idx="4">
                  <c:v>15558312177.605698</c:v>
                </c:pt>
                <c:pt idx="5">
                  <c:v>14552850671.094404</c:v>
                </c:pt>
                <c:pt idx="6">
                  <c:v>13790306225.762428</c:v>
                </c:pt>
                <c:pt idx="7">
                  <c:v>13278279280.401079</c:v>
                </c:pt>
                <c:pt idx="8">
                  <c:v>12810347549.150042</c:v>
                </c:pt>
                <c:pt idx="9">
                  <c:v>12419753907.471731</c:v>
                </c:pt>
                <c:pt idx="10">
                  <c:v>12176322027.775986</c:v>
                </c:pt>
                <c:pt idx="11">
                  <c:v>11936068687.371668</c:v>
                </c:pt>
                <c:pt idx="12">
                  <c:v>11742915137.680286</c:v>
                </c:pt>
                <c:pt idx="13">
                  <c:v>11587746065.34181</c:v>
                </c:pt>
                <c:pt idx="14">
                  <c:v>11463574420.203041</c:v>
                </c:pt>
                <c:pt idx="15">
                  <c:v>11364951619.902264</c:v>
                </c:pt>
                <c:pt idx="16">
                  <c:v>11287564071.680025</c:v>
                </c:pt>
                <c:pt idx="17">
                  <c:v>11227950775.34301</c:v>
                </c:pt>
                <c:pt idx="18">
                  <c:v>11183301627.452366</c:v>
                </c:pt>
                <c:pt idx="19">
                  <c:v>11151310733.368492</c:v>
                </c:pt>
                <c:pt idx="20">
                  <c:v>11130067972.788351</c:v>
                </c:pt>
                <c:pt idx="21">
                  <c:v>11117977650.923973</c:v>
                </c:pt>
                <c:pt idx="22">
                  <c:v>11113696642.623106</c:v>
                </c:pt>
                <c:pt idx="23">
                  <c:v>11116060801.275295</c:v>
                </c:pt>
                <c:pt idx="24">
                  <c:v>11124126399.628532</c:v>
                </c:pt>
                <c:pt idx="25">
                  <c:v>11137061762.839346</c:v>
                </c:pt>
                <c:pt idx="26">
                  <c:v>11154150738.695702</c:v>
                </c:pt>
                <c:pt idx="27">
                  <c:v>11174774099.504248</c:v>
                </c:pt>
                <c:pt idx="28">
                  <c:v>11181708883.777006</c:v>
                </c:pt>
                <c:pt idx="29">
                  <c:v>11191924494.815134</c:v>
                </c:pt>
                <c:pt idx="30">
                  <c:v>11204959479.998213</c:v>
                </c:pt>
                <c:pt idx="31">
                  <c:v>11220409701.274689</c:v>
                </c:pt>
                <c:pt idx="32">
                  <c:v>11237920452.558882</c:v>
                </c:pt>
                <c:pt idx="33">
                  <c:v>11257179853.728664</c:v>
                </c:pt>
                <c:pt idx="34">
                  <c:v>11277913280.864983</c:v>
                </c:pt>
                <c:pt idx="35">
                  <c:v>11299878643.202312</c:v>
                </c:pt>
                <c:pt idx="36">
                  <c:v>11322862356.316475</c:v>
                </c:pt>
                <c:pt idx="37">
                  <c:v>11346675891.308243</c:v>
                </c:pt>
                <c:pt idx="38">
                  <c:v>11371152803.30282</c:v>
                </c:pt>
                <c:pt idx="39">
                  <c:v>11396146161.067547</c:v>
                </c:pt>
                <c:pt idx="40">
                  <c:v>11421526314.137178</c:v>
                </c:pt>
                <c:pt idx="41">
                  <c:v>11447178945.415855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70656"/>
        <c:axId val="77680640"/>
      </c:lineChart>
      <c:catAx>
        <c:axId val="7767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77680640"/>
        <c:crosses val="autoZero"/>
        <c:auto val="1"/>
        <c:lblAlgn val="ctr"/>
        <c:lblOffset val="100"/>
        <c:tickLblSkip val="1"/>
        <c:noMultiLvlLbl val="0"/>
      </c:catAx>
      <c:valAx>
        <c:axId val="77680640"/>
        <c:scaling>
          <c:orientation val="minMax"/>
        </c:scaling>
        <c:delete val="0"/>
        <c:axPos val="l"/>
        <c:majorGridlines/>
        <c:numFmt formatCode="_(&quot;$&quot;\ * #,##0_);_(&quot;$&quot;\ * \(#,##0\);_(&quot;$&quot;\ * &quot;-&quot;??_);_(@_)" sourceLinked="1"/>
        <c:majorTickMark val="out"/>
        <c:minorTickMark val="none"/>
        <c:tickLblPos val="nextTo"/>
        <c:crossAx val="776706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CAE</c:v>
          </c:tx>
          <c:marker>
            <c:symbol val="square"/>
            <c:size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val>
            <c:numRef>
              <c:f>'F de CP'!$G$55:$BA$55</c:f>
              <c:numCache>
                <c:formatCode>_("$"\ * #,##0_);_("$"\ * \(#,##0\);_("$"\ * "-"??_);_(@_)</c:formatCode>
                <c:ptCount val="47"/>
                <c:pt idx="0">
                  <c:v>26251070460.416016</c:v>
                </c:pt>
                <c:pt idx="1">
                  <c:v>21581901313.498863</c:v>
                </c:pt>
                <c:pt idx="2">
                  <c:v>18774140456.302086</c:v>
                </c:pt>
                <c:pt idx="3">
                  <c:v>16873317437.896656</c:v>
                </c:pt>
                <c:pt idx="4">
                  <c:v>15558312177.605698</c:v>
                </c:pt>
                <c:pt idx="5">
                  <c:v>14552850671.094404</c:v>
                </c:pt>
                <c:pt idx="6">
                  <c:v>13790306225.762428</c:v>
                </c:pt>
                <c:pt idx="7">
                  <c:v>13278279280.401079</c:v>
                </c:pt>
                <c:pt idx="8">
                  <c:v>12810347549.150042</c:v>
                </c:pt>
                <c:pt idx="9">
                  <c:v>12419753907.471731</c:v>
                </c:pt>
                <c:pt idx="10">
                  <c:v>12176322027.775986</c:v>
                </c:pt>
                <c:pt idx="11">
                  <c:v>11936068687.371668</c:v>
                </c:pt>
                <c:pt idx="12">
                  <c:v>11742915137.680286</c:v>
                </c:pt>
                <c:pt idx="13">
                  <c:v>11587746065.34181</c:v>
                </c:pt>
                <c:pt idx="14">
                  <c:v>11463574420.203041</c:v>
                </c:pt>
                <c:pt idx="15">
                  <c:v>11364951619.902264</c:v>
                </c:pt>
                <c:pt idx="16">
                  <c:v>11287564071.680025</c:v>
                </c:pt>
                <c:pt idx="17">
                  <c:v>11227950775.34301</c:v>
                </c:pt>
                <c:pt idx="18">
                  <c:v>11183301627.452366</c:v>
                </c:pt>
                <c:pt idx="19">
                  <c:v>11151310733.368492</c:v>
                </c:pt>
                <c:pt idx="20">
                  <c:v>11130067972.788351</c:v>
                </c:pt>
                <c:pt idx="21">
                  <c:v>11117977650.923973</c:v>
                </c:pt>
                <c:pt idx="22">
                  <c:v>11113696642.623106</c:v>
                </c:pt>
                <c:pt idx="23">
                  <c:v>11116060801.275295</c:v>
                </c:pt>
                <c:pt idx="24">
                  <c:v>11124126399.628532</c:v>
                </c:pt>
                <c:pt idx="25">
                  <c:v>11137061762.839346</c:v>
                </c:pt>
                <c:pt idx="26">
                  <c:v>11154150738.695702</c:v>
                </c:pt>
                <c:pt idx="27">
                  <c:v>11174774099.504248</c:v>
                </c:pt>
                <c:pt idx="28">
                  <c:v>11181708883.777006</c:v>
                </c:pt>
                <c:pt idx="29">
                  <c:v>11191924494.815134</c:v>
                </c:pt>
                <c:pt idx="30">
                  <c:v>11204959479.998213</c:v>
                </c:pt>
                <c:pt idx="31">
                  <c:v>11220409701.274689</c:v>
                </c:pt>
                <c:pt idx="32">
                  <c:v>11237920452.558882</c:v>
                </c:pt>
                <c:pt idx="33">
                  <c:v>11257179853.728664</c:v>
                </c:pt>
                <c:pt idx="34">
                  <c:v>11277913280.864983</c:v>
                </c:pt>
                <c:pt idx="35">
                  <c:v>11299878643.202312</c:v>
                </c:pt>
                <c:pt idx="36">
                  <c:v>11322862356.316475</c:v>
                </c:pt>
                <c:pt idx="37">
                  <c:v>11346675891.308243</c:v>
                </c:pt>
                <c:pt idx="38">
                  <c:v>11371152803.30282</c:v>
                </c:pt>
                <c:pt idx="39">
                  <c:v>11396146161.067547</c:v>
                </c:pt>
                <c:pt idx="40">
                  <c:v>11421526314.137178</c:v>
                </c:pt>
                <c:pt idx="41">
                  <c:v>11447178945.415855</c:v>
                </c:pt>
                <c:pt idx="42">
                  <c:v>11431255865.81111</c:v>
                </c:pt>
                <c:pt idx="43">
                  <c:v>11416818730.898426</c:v>
                </c:pt>
                <c:pt idx="44">
                  <c:v>11403725671.2798</c:v>
                </c:pt>
                <c:pt idx="45">
                  <c:v>11391848922.469448</c:v>
                </c:pt>
                <c:pt idx="46">
                  <c:v>11381073325.331398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904"/>
        <c:axId val="77702656"/>
      </c:lineChart>
      <c:catAx>
        <c:axId val="7769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77702656"/>
        <c:crosses val="autoZero"/>
        <c:auto val="1"/>
        <c:lblAlgn val="ctr"/>
        <c:lblOffset val="100"/>
        <c:noMultiLvlLbl val="0"/>
      </c:catAx>
      <c:valAx>
        <c:axId val="77702656"/>
        <c:scaling>
          <c:orientation val="minMax"/>
          <c:max val="10000000000"/>
          <c:min val="6000000000"/>
        </c:scaling>
        <c:delete val="0"/>
        <c:axPos val="l"/>
        <c:majorGridlines/>
        <c:numFmt formatCode="_(&quot;$&quot;\ * #,##0_);_(&quot;$&quot;\ * \(#,##0\);_(&quot;$&quot;\ * &quot;-&quot;??_);_(@_)" sourceLinked="1"/>
        <c:majorTickMark val="out"/>
        <c:minorTickMark val="none"/>
        <c:tickLblPos val="nextTo"/>
        <c:crossAx val="776919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Horas de indisponibilidad</c:v>
          </c:tx>
          <c:trendline>
            <c:trendlineType val="log"/>
            <c:dispRSqr val="0"/>
            <c:dispEq val="0"/>
          </c:trendline>
          <c:xVal>
            <c:numRef>
              <c:f>'Ingresos&amp;Compensaciones'!$A$26:$A$36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xVal>
          <c:yVal>
            <c:numRef>
              <c:f>'Ingresos&amp;Compensaciones'!$P$26:$P$36</c:f>
              <c:numCache>
                <c:formatCode>_(* #,##0.00_);_(* \(#,##0.00\);_(* "-"??_);_(@_)</c:formatCode>
                <c:ptCount val="11"/>
                <c:pt idx="0">
                  <c:v>22.099961599999318</c:v>
                </c:pt>
                <c:pt idx="1">
                  <c:v>14.477644699999942</c:v>
                </c:pt>
                <c:pt idx="2">
                  <c:v>21.666239400001249</c:v>
                </c:pt>
                <c:pt idx="3">
                  <c:v>16.65257749999888</c:v>
                </c:pt>
                <c:pt idx="4">
                  <c:v>20.536192100001216</c:v>
                </c:pt>
                <c:pt idx="5">
                  <c:v>20.911331799999363</c:v>
                </c:pt>
                <c:pt idx="6">
                  <c:v>29.81123630000074</c:v>
                </c:pt>
                <c:pt idx="7">
                  <c:v>46.11935599999979</c:v>
                </c:pt>
                <c:pt idx="8">
                  <c:v>74.538701299998152</c:v>
                </c:pt>
                <c:pt idx="9">
                  <c:v>44.678963800001057</c:v>
                </c:pt>
                <c:pt idx="10">
                  <c:v>54.704502749999136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737792"/>
        <c:axId val="78739328"/>
      </c:scatterChart>
      <c:valAx>
        <c:axId val="7873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8739328"/>
        <c:crosses val="autoZero"/>
        <c:crossBetween val="midCat"/>
      </c:valAx>
      <c:valAx>
        <c:axId val="7873932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787377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" l="0.75000000000000178" r="0.750000000000001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'Ingresos&amp;Compensaciones'!$N$26:$N$37</c:f>
              <c:numCache>
                <c:formatCode>0.00%</c:formatCode>
                <c:ptCount val="12"/>
                <c:pt idx="0">
                  <c:v>0.99747717333333341</c:v>
                </c:pt>
                <c:pt idx="1">
                  <c:v>0.99834730083333334</c:v>
                </c:pt>
                <c:pt idx="2">
                  <c:v>0.99752668499999986</c:v>
                </c:pt>
                <c:pt idx="3">
                  <c:v>0.99809902083333346</c:v>
                </c:pt>
                <c:pt idx="4">
                  <c:v>0.99765568583333319</c:v>
                </c:pt>
                <c:pt idx="5">
                  <c:v>0.99761286166666674</c:v>
                </c:pt>
                <c:pt idx="6">
                  <c:v>0.99659689083333325</c:v>
                </c:pt>
                <c:pt idx="7">
                  <c:v>0.99473523333333336</c:v>
                </c:pt>
                <c:pt idx="8">
                  <c:v>0.99149101583333354</c:v>
                </c:pt>
                <c:pt idx="9">
                  <c:v>0.99489966166666655</c:v>
                </c:pt>
                <c:pt idx="10">
                  <c:v>0.9937551937500001</c:v>
                </c:pt>
                <c:pt idx="11">
                  <c:v>0.99423176746422415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760192"/>
        <c:axId val="78766080"/>
      </c:barChart>
      <c:catAx>
        <c:axId val="7876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78766080"/>
        <c:crosses val="autoZero"/>
        <c:auto val="1"/>
        <c:lblAlgn val="ctr"/>
        <c:lblOffset val="100"/>
        <c:noMultiLvlLbl val="0"/>
      </c:catAx>
      <c:valAx>
        <c:axId val="787660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787601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Distribución de datos</c:v>
          </c:tx>
          <c:xVal>
            <c:strRef>
              <c:f>'Ingresos&amp;Compensaciones'!$AB$25:$AJ$25</c:f>
              <c:strCache>
                <c:ptCount val="9"/>
                <c:pt idx="0">
                  <c:v>&gt;99,9</c:v>
                </c:pt>
                <c:pt idx="1">
                  <c:v>&gt;99,8</c:v>
                </c:pt>
                <c:pt idx="2">
                  <c:v>&gt;99,7</c:v>
                </c:pt>
                <c:pt idx="3">
                  <c:v>&gt;99,6</c:v>
                </c:pt>
                <c:pt idx="4">
                  <c:v>&gt;99,5</c:v>
                </c:pt>
                <c:pt idx="5">
                  <c:v>&gt;99,4</c:v>
                </c:pt>
                <c:pt idx="6">
                  <c:v>&gt;99,3</c:v>
                </c:pt>
                <c:pt idx="7">
                  <c:v>&gt;99,2</c:v>
                </c:pt>
                <c:pt idx="8">
                  <c:v>&gt;99,1</c:v>
                </c:pt>
              </c:strCache>
            </c:strRef>
          </c:xVal>
          <c:yVal>
            <c:numRef>
              <c:f>'Ingresos&amp;Compensaciones'!$AB$27:$AJ$27</c:f>
              <c:numCache>
                <c:formatCode>General</c:formatCode>
                <c:ptCount val="9"/>
                <c:pt idx="0">
                  <c:v>6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9</c:v>
                </c:pt>
                <c:pt idx="5">
                  <c:v>10</c:v>
                </c:pt>
                <c:pt idx="6">
                  <c:v>4</c:v>
                </c:pt>
                <c:pt idx="7">
                  <c:v>21</c:v>
                </c:pt>
                <c:pt idx="8">
                  <c:v>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654976"/>
        <c:axId val="188888192"/>
      </c:scatterChart>
      <c:valAx>
        <c:axId val="92654976"/>
        <c:scaling>
          <c:orientation val="minMax"/>
        </c:scaling>
        <c:delete val="1"/>
        <c:axPos val="b"/>
        <c:numFmt formatCode="#,##0.00" sourceLinked="0"/>
        <c:majorTickMark val="out"/>
        <c:minorTickMark val="none"/>
        <c:tickLblPos val="none"/>
        <c:crossAx val="188888192"/>
        <c:crosses val="autoZero"/>
        <c:crossBetween val="midCat"/>
      </c:valAx>
      <c:valAx>
        <c:axId val="188888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2654976"/>
        <c:crosses val="autoZero"/>
        <c:crossBetween val="midCat"/>
      </c:valAx>
    </c:plotArea>
    <c:legend>
      <c:legendPos val="r"/>
      <c:layout/>
      <c:overlay val="0"/>
    </c:legend>
    <c:plotVisOnly val="0"/>
    <c:dispBlanksAs val="span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Spin" dx="16" fmlaLink="$A$36" max="2" page="10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chart" Target="../charts/chart3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0</xdr:rowOff>
    </xdr:from>
    <xdr:to>
      <xdr:col>2</xdr:col>
      <xdr:colOff>2670362</xdr:colOff>
      <xdr:row>48</xdr:row>
      <xdr:rowOff>57150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04412"/>
          <a:ext cx="41719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61</xdr:row>
      <xdr:rowOff>0</xdr:rowOff>
    </xdr:from>
    <xdr:to>
      <xdr:col>2</xdr:col>
      <xdr:colOff>2392239</xdr:colOff>
      <xdr:row>67</xdr:row>
      <xdr:rowOff>137160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" y="11071412"/>
          <a:ext cx="3893820" cy="1280160"/>
        </a:xfrm>
        <a:prstGeom prst="rect">
          <a:avLst/>
        </a:prstGeom>
      </xdr:spPr>
    </xdr:pic>
    <xdr:clientData/>
  </xdr:twoCellAnchor>
  <xdr:twoCellAnchor>
    <xdr:from>
      <xdr:col>4</xdr:col>
      <xdr:colOff>745190</xdr:colOff>
      <xdr:row>61</xdr:row>
      <xdr:rowOff>6721</xdr:rowOff>
    </xdr:from>
    <xdr:to>
      <xdr:col>11</xdr:col>
      <xdr:colOff>997323</xdr:colOff>
      <xdr:row>100</xdr:row>
      <xdr:rowOff>134468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156881</xdr:colOff>
      <xdr:row>61</xdr:row>
      <xdr:rowOff>0</xdr:rowOff>
    </xdr:from>
    <xdr:to>
      <xdr:col>16</xdr:col>
      <xdr:colOff>425822</xdr:colOff>
      <xdr:row>75</xdr:row>
      <xdr:rowOff>76200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457200</xdr:colOff>
          <xdr:row>34</xdr:row>
          <xdr:rowOff>180975</xdr:rowOff>
        </xdr:from>
        <xdr:to>
          <xdr:col>0</xdr:col>
          <xdr:colOff>866775</xdr:colOff>
          <xdr:row>37</xdr:row>
          <xdr:rowOff>38100</xdr:rowOff>
        </xdr:to>
        <xdr:sp macro="" textlink="">
          <xdr:nvSpPr>
            <xdr:cNvPr id="2052" name="Spinner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910166</xdr:colOff>
      <xdr:row>173</xdr:row>
      <xdr:rowOff>64207</xdr:rowOff>
    </xdr:from>
    <xdr:to>
      <xdr:col>6</xdr:col>
      <xdr:colOff>677332</xdr:colOff>
      <xdr:row>188</xdr:row>
      <xdr:rowOff>55740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264583</xdr:colOff>
      <xdr:row>172</xdr:row>
      <xdr:rowOff>169333</xdr:rowOff>
    </xdr:from>
    <xdr:to>
      <xdr:col>15</xdr:col>
      <xdr:colOff>588440</xdr:colOff>
      <xdr:row>197</xdr:row>
      <xdr:rowOff>178262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7333" y="33348083"/>
          <a:ext cx="8409524" cy="47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814916</xdr:colOff>
      <xdr:row>172</xdr:row>
      <xdr:rowOff>74082</xdr:rowOff>
    </xdr:from>
    <xdr:to>
      <xdr:col>24</xdr:col>
      <xdr:colOff>607464</xdr:colOff>
      <xdr:row>206</xdr:row>
      <xdr:rowOff>130416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63333" y="22627165"/>
          <a:ext cx="8619048" cy="6533334"/>
        </a:xfrm>
        <a:prstGeom prst="rect">
          <a:avLst/>
        </a:prstGeom>
      </xdr:spPr>
    </xdr:pic>
    <xdr:clientData/>
  </xdr:twoCellAnchor>
  <xdr:twoCellAnchor editAs="oneCell">
    <xdr:from>
      <xdr:col>25</xdr:col>
      <xdr:colOff>42333</xdr:colOff>
      <xdr:row>172</xdr:row>
      <xdr:rowOff>105833</xdr:rowOff>
    </xdr:from>
    <xdr:to>
      <xdr:col>36</xdr:col>
      <xdr:colOff>260334</xdr:colOff>
      <xdr:row>208</xdr:row>
      <xdr:rowOff>133548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479250" y="22658916"/>
          <a:ext cx="8600001" cy="6885715"/>
        </a:xfrm>
        <a:prstGeom prst="rect">
          <a:avLst/>
        </a:prstGeom>
      </xdr:spPr>
    </xdr:pic>
    <xdr:clientData/>
  </xdr:twoCellAnchor>
  <xdr:twoCellAnchor editAs="oneCell">
    <xdr:from>
      <xdr:col>56</xdr:col>
      <xdr:colOff>0</xdr:colOff>
      <xdr:row>159</xdr:row>
      <xdr:rowOff>0</xdr:rowOff>
    </xdr:from>
    <xdr:to>
      <xdr:col>73</xdr:col>
      <xdr:colOff>46001</xdr:colOff>
      <xdr:row>195</xdr:row>
      <xdr:rowOff>84858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889583" y="7620000"/>
          <a:ext cx="13000001" cy="6942858"/>
        </a:xfrm>
        <a:prstGeom prst="rect">
          <a:avLst/>
        </a:prstGeom>
      </xdr:spPr>
    </xdr:pic>
    <xdr:clientData/>
  </xdr:twoCellAnchor>
  <xdr:twoCellAnchor editAs="oneCell">
    <xdr:from>
      <xdr:col>73</xdr:col>
      <xdr:colOff>613834</xdr:colOff>
      <xdr:row>77</xdr:row>
      <xdr:rowOff>74083</xdr:rowOff>
    </xdr:from>
    <xdr:to>
      <xdr:col>90</xdr:col>
      <xdr:colOff>659835</xdr:colOff>
      <xdr:row>113</xdr:row>
      <xdr:rowOff>130369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457417" y="7503583"/>
          <a:ext cx="13000001" cy="6914286"/>
        </a:xfrm>
        <a:prstGeom prst="rect">
          <a:avLst/>
        </a:prstGeom>
      </xdr:spPr>
    </xdr:pic>
    <xdr:clientData/>
  </xdr:twoCellAnchor>
  <xdr:twoCellAnchor editAs="oneCell">
    <xdr:from>
      <xdr:col>95</xdr:col>
      <xdr:colOff>0</xdr:colOff>
      <xdr:row>38</xdr:row>
      <xdr:rowOff>0</xdr:rowOff>
    </xdr:from>
    <xdr:to>
      <xdr:col>112</xdr:col>
      <xdr:colOff>46001</xdr:colOff>
      <xdr:row>74</xdr:row>
      <xdr:rowOff>75334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607583" y="7239000"/>
          <a:ext cx="13000001" cy="6933334"/>
        </a:xfrm>
        <a:prstGeom prst="rect">
          <a:avLst/>
        </a:prstGeom>
      </xdr:spPr>
    </xdr:pic>
    <xdr:clientData/>
  </xdr:twoCellAnchor>
  <xdr:twoCellAnchor>
    <xdr:from>
      <xdr:col>25</xdr:col>
      <xdr:colOff>167216</xdr:colOff>
      <xdr:row>2</xdr:row>
      <xdr:rowOff>21167</xdr:rowOff>
    </xdr:from>
    <xdr:to>
      <xdr:col>31</xdr:col>
      <xdr:colOff>186266</xdr:colOff>
      <xdr:row>16</xdr:row>
      <xdr:rowOff>86784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190499</xdr:colOff>
      <xdr:row>28</xdr:row>
      <xdr:rowOff>131234</xdr:rowOff>
    </xdr:from>
    <xdr:to>
      <xdr:col>38</xdr:col>
      <xdr:colOff>613832</xdr:colOff>
      <xdr:row>46</xdr:row>
      <xdr:rowOff>95250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</xdr:colOff>
      <xdr:row>7</xdr:row>
      <xdr:rowOff>66675</xdr:rowOff>
    </xdr:from>
    <xdr:to>
      <xdr:col>6</xdr:col>
      <xdr:colOff>581025</xdr:colOff>
      <xdr:row>9</xdr:row>
      <xdr:rowOff>66675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14325" y="1333500"/>
          <a:ext cx="89058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180000" tIns="46800" rIns="198000" bIns="46800" anchor="ctr" upright="1"/>
        <a:lstStyle/>
        <a:p>
          <a:pPr algn="ctr" rtl="0">
            <a:defRPr sz="1000"/>
          </a:pPr>
          <a:r>
            <a:rPr lang="es-CO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Precios Unitarios USD-</a:t>
          </a:r>
        </a:p>
        <a:p>
          <a:pPr algn="ctr" rtl="0">
            <a:defRPr sz="1000"/>
          </a:pPr>
          <a:r>
            <a:rPr lang="es-CO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Proyecto Renovación UC 500KV</a:t>
          </a:r>
        </a:p>
      </xdr:txBody>
    </xdr:sp>
    <xdr:clientData/>
  </xdr:twoCellAnchor>
  <xdr:twoCellAnchor editAs="absolute">
    <xdr:from>
      <xdr:col>1</xdr:col>
      <xdr:colOff>0</xdr:colOff>
      <xdr:row>0</xdr:row>
      <xdr:rowOff>85725</xdr:rowOff>
    </xdr:from>
    <xdr:to>
      <xdr:col>6</xdr:col>
      <xdr:colOff>571500</xdr:colOff>
      <xdr:row>6</xdr:row>
      <xdr:rowOff>152400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304800" y="85725"/>
          <a:ext cx="8905875" cy="1152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r>
            <a:rPr lang="es-CO"/>
            <a:t>LCC</a:t>
          </a:r>
          <a:r>
            <a:rPr lang="es-CO" baseline="0"/>
            <a:t> </a:t>
          </a:r>
          <a:endParaRPr lang="es-CO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7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6"/>
  <sheetViews>
    <sheetView view="pageBreakPreview" topLeftCell="A52" zoomScale="120" zoomScaleNormal="100" zoomScaleSheetLayoutView="120" workbookViewId="0">
      <selection activeCell="A5" sqref="A5:A56"/>
    </sheetView>
  </sheetViews>
  <sheetFormatPr baseColWidth="10" defaultRowHeight="15" x14ac:dyDescent="0.25"/>
  <cols>
    <col min="1" max="1" width="39.28515625" bestFit="1" customWidth="1"/>
    <col min="2" max="2" width="13.28515625" bestFit="1" customWidth="1"/>
    <col min="4" max="4" width="13.7109375" bestFit="1" customWidth="1"/>
    <col min="5" max="5" width="17.85546875" bestFit="1" customWidth="1"/>
  </cols>
  <sheetData>
    <row r="1" spans="1:5" x14ac:dyDescent="0.25">
      <c r="A1" s="29" t="s">
        <v>85</v>
      </c>
    </row>
    <row r="2" spans="1:5" ht="26.25" customHeight="1" thickBot="1" x14ac:dyDescent="0.3">
      <c r="A2" s="432" t="s">
        <v>587</v>
      </c>
      <c r="B2" s="433"/>
    </row>
    <row r="3" spans="1:5" ht="16.5" customHeight="1" thickBot="1" x14ac:dyDescent="0.3">
      <c r="A3" s="51" t="s">
        <v>42</v>
      </c>
      <c r="B3" s="235">
        <f>+B4+B21+B25+B39+B45+B47+B51+B53+B55</f>
        <v>61065814675.056244</v>
      </c>
      <c r="D3" s="33"/>
      <c r="E3" s="375"/>
    </row>
    <row r="4" spans="1:5" ht="15.75" thickBot="1" x14ac:dyDescent="0.3">
      <c r="A4" s="56" t="s">
        <v>43</v>
      </c>
      <c r="B4" s="52">
        <f>SUM(B5:B20)</f>
        <v>36848740924.317307</v>
      </c>
    </row>
    <row r="5" spans="1:5" ht="15.75" thickBot="1" x14ac:dyDescent="0.3">
      <c r="A5" s="57" t="s">
        <v>588</v>
      </c>
      <c r="B5" s="53">
        <f>(900000000-8070246)*1.72333585484211</f>
        <v>1537094525.0687029</v>
      </c>
    </row>
    <row r="6" spans="1:5" ht="15.75" thickBot="1" x14ac:dyDescent="0.3">
      <c r="A6" s="57" t="s">
        <v>44</v>
      </c>
      <c r="B6" s="53">
        <v>11236150380.184746</v>
      </c>
    </row>
    <row r="7" spans="1:5" ht="15.75" thickBot="1" x14ac:dyDescent="0.3">
      <c r="A7" s="57" t="s">
        <v>45</v>
      </c>
      <c r="B7" s="53">
        <v>6893343419.3684206</v>
      </c>
    </row>
    <row r="8" spans="1:5" ht="15.75" thickBot="1" x14ac:dyDescent="0.3">
      <c r="A8" s="57" t="s">
        <v>589</v>
      </c>
      <c r="B8" s="53">
        <v>7755011346.7894735</v>
      </c>
    </row>
    <row r="9" spans="1:5" ht="15.75" thickBot="1" x14ac:dyDescent="0.3">
      <c r="A9" s="57" t="s">
        <v>46</v>
      </c>
      <c r="B9" s="53">
        <v>831890333.08179414</v>
      </c>
    </row>
    <row r="10" spans="1:5" ht="15.75" thickBot="1" x14ac:dyDescent="0.3">
      <c r="A10" s="57" t="s">
        <v>47</v>
      </c>
      <c r="B10" s="53">
        <v>509719147.18850309</v>
      </c>
    </row>
    <row r="11" spans="1:5" ht="15.75" thickBot="1" x14ac:dyDescent="0.3">
      <c r="A11" s="57" t="s">
        <v>48</v>
      </c>
      <c r="B11" s="53">
        <v>1153292290.7829177</v>
      </c>
    </row>
    <row r="12" spans="1:5" ht="15.75" thickBot="1" x14ac:dyDescent="0.3">
      <c r="A12" s="57" t="s">
        <v>49</v>
      </c>
      <c r="B12" s="53">
        <v>888220495.16826153</v>
      </c>
    </row>
    <row r="13" spans="1:5" ht="15.75" thickBot="1" x14ac:dyDescent="0.3">
      <c r="A13" s="57" t="s">
        <v>50</v>
      </c>
      <c r="B13" s="53">
        <v>188997524.56948221</v>
      </c>
    </row>
    <row r="14" spans="1:5" ht="15.75" thickBot="1" x14ac:dyDescent="0.3">
      <c r="A14" s="57" t="s">
        <v>51</v>
      </c>
      <c r="B14" s="53">
        <v>611647548.97896397</v>
      </c>
    </row>
    <row r="15" spans="1:5" ht="15.75" thickBot="1" x14ac:dyDescent="0.3">
      <c r="A15" s="57" t="s">
        <v>590</v>
      </c>
      <c r="B15" s="53">
        <v>95570776.278264552</v>
      </c>
    </row>
    <row r="16" spans="1:5" ht="15.75" thickBot="1" x14ac:dyDescent="0.3">
      <c r="A16" s="57" t="s">
        <v>591</v>
      </c>
      <c r="B16" s="53">
        <v>344667170.96842104</v>
      </c>
    </row>
    <row r="17" spans="1:2" ht="15.75" thickBot="1" x14ac:dyDescent="0.3">
      <c r="A17" s="57" t="s">
        <v>52</v>
      </c>
      <c r="B17" s="53">
        <v>942385.53219014709</v>
      </c>
    </row>
    <row r="18" spans="1:2" ht="15.75" thickBot="1" x14ac:dyDescent="0.3">
      <c r="A18" s="57" t="s">
        <v>592</v>
      </c>
      <c r="B18" s="53">
        <v>2585003782.2631578</v>
      </c>
    </row>
    <row r="19" spans="1:2" ht="15.75" thickBot="1" x14ac:dyDescent="0.3">
      <c r="A19" s="57" t="s">
        <v>53</v>
      </c>
      <c r="B19" s="53">
        <v>1493546222.6607494</v>
      </c>
    </row>
    <row r="20" spans="1:2" ht="15.75" thickBot="1" x14ac:dyDescent="0.3">
      <c r="A20" s="57" t="s">
        <v>54</v>
      </c>
      <c r="B20" s="53">
        <v>723643575.43326116</v>
      </c>
    </row>
    <row r="21" spans="1:2" ht="15.75" thickBot="1" x14ac:dyDescent="0.3">
      <c r="A21" s="56" t="s">
        <v>55</v>
      </c>
      <c r="B21" s="52">
        <f>SUM(B22:B24)</f>
        <v>7860904695.3360634</v>
      </c>
    </row>
    <row r="22" spans="1:2" ht="15.75" thickBot="1" x14ac:dyDescent="0.3">
      <c r="A22" s="57" t="s">
        <v>56</v>
      </c>
      <c r="B22" s="53">
        <v>5069278239.8884192</v>
      </c>
    </row>
    <row r="23" spans="1:2" ht="15.75" thickBot="1" x14ac:dyDescent="0.3">
      <c r="A23" s="57" t="s">
        <v>57</v>
      </c>
      <c r="B23" s="53">
        <v>2153949262.5832572</v>
      </c>
    </row>
    <row r="24" spans="1:2" ht="15.75" thickBot="1" x14ac:dyDescent="0.3">
      <c r="A24" s="57" t="s">
        <v>593</v>
      </c>
      <c r="B24" s="53">
        <v>637677192.86438715</v>
      </c>
    </row>
    <row r="25" spans="1:2" ht="15.75" thickBot="1" x14ac:dyDescent="0.3">
      <c r="A25" s="56" t="s">
        <v>594</v>
      </c>
      <c r="B25" s="52">
        <f>SUM(B26:B38)</f>
        <v>8700111562.0616264</v>
      </c>
    </row>
    <row r="26" spans="1:2" ht="15.75" thickBot="1" x14ac:dyDescent="0.3">
      <c r="A26" s="57" t="s">
        <v>595</v>
      </c>
      <c r="B26" s="53">
        <v>2068454076.22715</v>
      </c>
    </row>
    <row r="27" spans="1:2" ht="15.75" thickBot="1" x14ac:dyDescent="0.3">
      <c r="A27" s="57" t="s">
        <v>58</v>
      </c>
      <c r="B27" s="53">
        <v>66722570.072178982</v>
      </c>
    </row>
    <row r="28" spans="1:2" ht="15.75" thickBot="1" x14ac:dyDescent="0.3">
      <c r="A28" s="57" t="s">
        <v>59</v>
      </c>
      <c r="B28" s="53">
        <v>0</v>
      </c>
    </row>
    <row r="29" spans="1:2" ht="15.75" thickBot="1" x14ac:dyDescent="0.3">
      <c r="A29" s="57" t="s">
        <v>60</v>
      </c>
      <c r="B29" s="53">
        <v>1704902098.0873146</v>
      </c>
    </row>
    <row r="30" spans="1:2" ht="15.75" thickBot="1" x14ac:dyDescent="0.3">
      <c r="A30" s="57" t="s">
        <v>61</v>
      </c>
      <c r="B30" s="53">
        <v>517000756.45263153</v>
      </c>
    </row>
    <row r="31" spans="1:2" ht="15.75" thickBot="1" x14ac:dyDescent="0.3">
      <c r="A31" s="57" t="s">
        <v>596</v>
      </c>
      <c r="B31" s="53">
        <v>1796029726.7812288</v>
      </c>
    </row>
    <row r="32" spans="1:2" ht="15.75" thickBot="1" x14ac:dyDescent="0.3">
      <c r="A32" s="57" t="s">
        <v>597</v>
      </c>
      <c r="B32" s="53">
        <v>73920957.724541292</v>
      </c>
    </row>
    <row r="33" spans="1:2" ht="15.75" thickBot="1" x14ac:dyDescent="0.3">
      <c r="A33" s="57" t="s">
        <v>598</v>
      </c>
      <c r="B33" s="53">
        <v>10701386.594462037</v>
      </c>
    </row>
    <row r="34" spans="1:2" ht="15.75" thickBot="1" x14ac:dyDescent="0.3">
      <c r="A34" s="57" t="s">
        <v>62</v>
      </c>
      <c r="B34" s="53">
        <v>0</v>
      </c>
    </row>
    <row r="35" spans="1:2" ht="15.75" thickBot="1" x14ac:dyDescent="0.3">
      <c r="A35" s="57" t="s">
        <v>599</v>
      </c>
      <c r="B35" s="53">
        <v>0</v>
      </c>
    </row>
    <row r="36" spans="1:2" ht="15.75" thickBot="1" x14ac:dyDescent="0.3">
      <c r="A36" s="57" t="s">
        <v>586</v>
      </c>
      <c r="B36" s="53">
        <v>101537761.18889286</v>
      </c>
    </row>
    <row r="37" spans="1:2" ht="15.75" thickBot="1" x14ac:dyDescent="0.3">
      <c r="A37" s="57" t="s">
        <v>63</v>
      </c>
      <c r="B37" s="53">
        <v>2360842228.9332247</v>
      </c>
    </row>
    <row r="38" spans="1:2" ht="15.75" thickBot="1" x14ac:dyDescent="0.3">
      <c r="A38" s="57" t="s">
        <v>64</v>
      </c>
      <c r="B38" s="53">
        <v>0</v>
      </c>
    </row>
    <row r="39" spans="1:2" ht="15.75" thickBot="1" x14ac:dyDescent="0.3">
      <c r="A39" s="56" t="s">
        <v>600</v>
      </c>
      <c r="B39" s="52">
        <f>SUM(B40:B44)</f>
        <v>861667927.42105258</v>
      </c>
    </row>
    <row r="40" spans="1:2" ht="15.75" thickBot="1" x14ac:dyDescent="0.3">
      <c r="A40" s="57" t="s">
        <v>601</v>
      </c>
      <c r="B40" s="53">
        <v>0</v>
      </c>
    </row>
    <row r="41" spans="1:2" ht="15.75" thickBot="1" x14ac:dyDescent="0.3">
      <c r="A41" s="57" t="s">
        <v>602</v>
      </c>
      <c r="B41" s="53">
        <v>344667170.96842104</v>
      </c>
    </row>
    <row r="42" spans="1:2" ht="15.75" thickBot="1" x14ac:dyDescent="0.3">
      <c r="A42" s="57" t="s">
        <v>65</v>
      </c>
      <c r="B42" s="53">
        <v>517000756.45263153</v>
      </c>
    </row>
    <row r="43" spans="1:2" ht="15.75" thickBot="1" x14ac:dyDescent="0.3">
      <c r="A43" s="57" t="s">
        <v>603</v>
      </c>
      <c r="B43" s="53">
        <v>0</v>
      </c>
    </row>
    <row r="44" spans="1:2" ht="15.75" thickBot="1" x14ac:dyDescent="0.3">
      <c r="A44" s="57" t="s">
        <v>604</v>
      </c>
      <c r="B44" s="53">
        <v>0</v>
      </c>
    </row>
    <row r="45" spans="1:2" ht="15.75" thickBot="1" x14ac:dyDescent="0.3">
      <c r="A45" s="56" t="s">
        <v>66</v>
      </c>
      <c r="B45" s="52">
        <f>+B46</f>
        <v>258500378.22631577</v>
      </c>
    </row>
    <row r="46" spans="1:2" ht="15.75" thickBot="1" x14ac:dyDescent="0.3">
      <c r="A46" s="57" t="s">
        <v>66</v>
      </c>
      <c r="B46" s="53">
        <v>258500378.22631577</v>
      </c>
    </row>
    <row r="47" spans="1:2" ht="15.75" thickBot="1" x14ac:dyDescent="0.3">
      <c r="A47" s="56" t="s">
        <v>605</v>
      </c>
      <c r="B47" s="52">
        <f>SUM(B48:B50)</f>
        <v>1378668683.8736842</v>
      </c>
    </row>
    <row r="48" spans="1:2" ht="15.75" thickBot="1" x14ac:dyDescent="0.3">
      <c r="A48" s="57" t="s">
        <v>67</v>
      </c>
      <c r="B48" s="53">
        <v>86166792.74210526</v>
      </c>
    </row>
    <row r="49" spans="1:2" ht="15.75" thickBot="1" x14ac:dyDescent="0.3">
      <c r="A49" s="57" t="s">
        <v>68</v>
      </c>
      <c r="B49" s="54">
        <v>430833963.71052629</v>
      </c>
    </row>
    <row r="50" spans="1:2" ht="15.75" thickBot="1" x14ac:dyDescent="0.3">
      <c r="A50" s="57" t="s">
        <v>69</v>
      </c>
      <c r="B50" s="53">
        <v>861667927.42105258</v>
      </c>
    </row>
    <row r="51" spans="1:2" ht="15.75" thickBot="1" x14ac:dyDescent="0.3">
      <c r="A51" s="56" t="s">
        <v>70</v>
      </c>
      <c r="B51" s="52">
        <f>+B52</f>
        <v>164474962.01582038</v>
      </c>
    </row>
    <row r="52" spans="1:2" ht="15.75" thickBot="1" x14ac:dyDescent="0.3">
      <c r="A52" s="57" t="s">
        <v>606</v>
      </c>
      <c r="B52" s="53">
        <v>164474962.01582038</v>
      </c>
    </row>
    <row r="53" spans="1:2" ht="15.75" thickBot="1" x14ac:dyDescent="0.3">
      <c r="A53" s="56" t="s">
        <v>63</v>
      </c>
      <c r="B53" s="52">
        <f>+B54</f>
        <v>4992745541.8043671</v>
      </c>
    </row>
    <row r="54" spans="1:2" x14ac:dyDescent="0.25">
      <c r="A54" s="58" t="s">
        <v>63</v>
      </c>
      <c r="B54" s="55">
        <v>4992745541.8043671</v>
      </c>
    </row>
    <row r="55" spans="1:2" ht="15.75" thickBot="1" x14ac:dyDescent="0.3">
      <c r="A55" s="56" t="s">
        <v>71</v>
      </c>
      <c r="B55" s="52">
        <f>+B56</f>
        <v>0</v>
      </c>
    </row>
    <row r="56" spans="1:2" x14ac:dyDescent="0.25">
      <c r="A56" s="58" t="s">
        <v>71</v>
      </c>
      <c r="B56" s="55">
        <v>0</v>
      </c>
    </row>
  </sheetData>
  <mergeCells count="1">
    <mergeCell ref="A2:B2"/>
  </mergeCells>
  <pageMargins left="1.45" right="0.7" top="0.75" bottom="0.75" header="0.3" footer="0.3"/>
  <pageSetup scale="79" orientation="portrait" r:id="rId1"/>
  <headerFooter>
    <oddHeader>&amp;C&amp;F-&amp;A</oddHead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47"/>
  <sheetViews>
    <sheetView topLeftCell="A28" zoomScaleNormal="100" workbookViewId="0">
      <selection sqref="A1:C1048576"/>
    </sheetView>
  </sheetViews>
  <sheetFormatPr baseColWidth="10" defaultRowHeight="15" x14ac:dyDescent="0.25"/>
  <cols>
    <col min="1" max="1" width="25" style="453" customWidth="1"/>
    <col min="2" max="2" width="17" style="453" bestFit="1" customWidth="1"/>
    <col min="3" max="3" width="18" style="453" bestFit="1" customWidth="1"/>
    <col min="4" max="4" width="17.85546875" bestFit="1" customWidth="1"/>
    <col min="5" max="6" width="17" bestFit="1" customWidth="1"/>
    <col min="7" max="7" width="17" style="453" bestFit="1" customWidth="1"/>
    <col min="8" max="8" width="16.85546875" bestFit="1" customWidth="1"/>
    <col min="9" max="9" width="17.140625" bestFit="1" customWidth="1"/>
    <col min="10" max="10" width="17" bestFit="1" customWidth="1"/>
    <col min="11" max="15" width="16.85546875" bestFit="1" customWidth="1"/>
    <col min="16" max="16" width="18.42578125" bestFit="1" customWidth="1"/>
    <col min="17" max="32" width="16.85546875" bestFit="1" customWidth="1"/>
    <col min="33" max="33" width="16.42578125" bestFit="1" customWidth="1"/>
    <col min="34" max="45" width="14.140625" bestFit="1" customWidth="1"/>
  </cols>
  <sheetData>
    <row r="1" spans="1:33" ht="26.25" x14ac:dyDescent="0.4">
      <c r="B1" s="602" t="s">
        <v>432</v>
      </c>
    </row>
    <row r="2" spans="1:33" x14ac:dyDescent="0.25">
      <c r="A2" s="581"/>
      <c r="B2" s="582"/>
      <c r="C2" s="582"/>
      <c r="J2" s="13"/>
      <c r="K2" s="16"/>
      <c r="L2" s="13"/>
    </row>
    <row r="3" spans="1:33" x14ac:dyDescent="0.25">
      <c r="A3" s="549"/>
      <c r="B3" s="583" t="s">
        <v>2</v>
      </c>
      <c r="C3" s="549" t="s">
        <v>0</v>
      </c>
      <c r="D3" s="14" t="s">
        <v>1</v>
      </c>
      <c r="E3" s="14" t="s">
        <v>32</v>
      </c>
      <c r="F3" s="14" t="s">
        <v>576</v>
      </c>
      <c r="G3" s="549" t="s">
        <v>703</v>
      </c>
      <c r="H3" s="14" t="s">
        <v>585</v>
      </c>
      <c r="J3" s="13"/>
      <c r="K3" s="13"/>
      <c r="L3" s="16"/>
    </row>
    <row r="4" spans="1:33" x14ac:dyDescent="0.25">
      <c r="A4" s="549" t="s">
        <v>30</v>
      </c>
      <c r="B4" s="584">
        <v>30</v>
      </c>
      <c r="C4" s="603">
        <v>1</v>
      </c>
      <c r="D4" s="93">
        <f>+ACTUALMENTE!D44*C4</f>
        <v>170748797</v>
      </c>
      <c r="E4" s="93">
        <f>+D4*0</f>
        <v>0</v>
      </c>
      <c r="F4" s="93">
        <f>+E4</f>
        <v>0</v>
      </c>
      <c r="G4" s="558">
        <f>+F4*0.33</f>
        <v>0</v>
      </c>
      <c r="H4" s="94">
        <f>+F4-G4</f>
        <v>0</v>
      </c>
      <c r="J4" s="13"/>
      <c r="K4" s="16"/>
      <c r="L4" s="16"/>
    </row>
    <row r="5" spans="1:33" ht="30" x14ac:dyDescent="0.25">
      <c r="A5" s="585" t="s">
        <v>667</v>
      </c>
      <c r="B5" s="584">
        <v>30</v>
      </c>
      <c r="C5" s="603">
        <v>1</v>
      </c>
      <c r="D5" s="232">
        <f>'Dep y Dif ACTUALMENTE'!D4</f>
        <v>42917543357.465675</v>
      </c>
      <c r="E5" s="93">
        <f>+D5*0</f>
        <v>0</v>
      </c>
      <c r="F5" s="93">
        <f>+E5</f>
        <v>0</v>
      </c>
      <c r="G5" s="558">
        <f>+F5*0.33</f>
        <v>0</v>
      </c>
      <c r="H5" s="94">
        <f>+F5-G5</f>
        <v>0</v>
      </c>
      <c r="J5" s="16"/>
      <c r="K5" s="16"/>
      <c r="L5" s="16"/>
    </row>
    <row r="6" spans="1:33" x14ac:dyDescent="0.25">
      <c r="A6" s="549" t="s">
        <v>33</v>
      </c>
      <c r="B6" s="584"/>
      <c r="C6" s="603"/>
      <c r="D6" s="93">
        <f>+ACTUALMENTE!D43</f>
        <v>27563854.500000004</v>
      </c>
      <c r="E6" s="94">
        <f>+D6*1.3</f>
        <v>35833010.850000009</v>
      </c>
      <c r="F6" s="93">
        <v>0</v>
      </c>
      <c r="G6" s="558">
        <v>0</v>
      </c>
      <c r="H6" s="94">
        <f>+E6</f>
        <v>35833010.850000009</v>
      </c>
    </row>
    <row r="7" spans="1:33" x14ac:dyDescent="0.25">
      <c r="A7" s="549" t="s">
        <v>668</v>
      </c>
      <c r="B7" s="584"/>
      <c r="C7" s="603"/>
      <c r="D7" s="93"/>
      <c r="E7" s="95">
        <v>0</v>
      </c>
      <c r="F7" s="93">
        <v>0</v>
      </c>
      <c r="G7" s="558">
        <v>0</v>
      </c>
      <c r="H7" s="95">
        <f>+E7</f>
        <v>0</v>
      </c>
    </row>
    <row r="8" spans="1:33" x14ac:dyDescent="0.25">
      <c r="A8" s="549"/>
      <c r="B8" s="549"/>
      <c r="C8" s="604"/>
      <c r="D8" s="26"/>
      <c r="E8" s="27"/>
      <c r="F8" s="14"/>
      <c r="G8" s="549" t="s">
        <v>38</v>
      </c>
      <c r="H8" s="19">
        <f>SUM(H4:H7)</f>
        <v>35833010.850000009</v>
      </c>
    </row>
    <row r="9" spans="1:33" ht="18.75" x14ac:dyDescent="0.3">
      <c r="A9" s="586" t="s">
        <v>669</v>
      </c>
      <c r="B9" s="587"/>
      <c r="C9" s="605">
        <v>1999</v>
      </c>
      <c r="D9" s="106">
        <v>2000</v>
      </c>
      <c r="E9" s="106">
        <v>2001</v>
      </c>
      <c r="F9" s="106">
        <v>2002</v>
      </c>
      <c r="G9" s="596">
        <v>2003</v>
      </c>
      <c r="H9" s="106">
        <v>2004</v>
      </c>
      <c r="I9" s="106">
        <v>2005</v>
      </c>
      <c r="J9" s="106">
        <v>2006</v>
      </c>
      <c r="K9" s="106">
        <v>2007</v>
      </c>
      <c r="L9" s="106">
        <v>2008</v>
      </c>
      <c r="M9" s="106">
        <v>2009</v>
      </c>
      <c r="N9" s="106">
        <v>2010</v>
      </c>
      <c r="O9" s="106">
        <v>2011</v>
      </c>
      <c r="P9" s="106">
        <v>2012</v>
      </c>
      <c r="Q9" s="106">
        <v>2013</v>
      </c>
      <c r="R9" s="106">
        <v>2014</v>
      </c>
      <c r="S9" s="106">
        <v>2015</v>
      </c>
      <c r="T9" s="106">
        <v>2016</v>
      </c>
      <c r="U9" s="106">
        <v>2017</v>
      </c>
      <c r="V9" s="106">
        <v>2018</v>
      </c>
      <c r="W9" s="106">
        <v>2019</v>
      </c>
      <c r="X9" s="106">
        <v>2020</v>
      </c>
      <c r="Y9" s="106">
        <v>2021</v>
      </c>
      <c r="Z9" s="106">
        <v>2022</v>
      </c>
      <c r="AA9" s="106">
        <v>2023</v>
      </c>
      <c r="AB9" s="106">
        <v>2024</v>
      </c>
      <c r="AC9" s="106">
        <v>2025</v>
      </c>
      <c r="AD9" s="106">
        <v>2026</v>
      </c>
      <c r="AE9" s="106">
        <v>2027</v>
      </c>
      <c r="AF9" s="106">
        <v>2028</v>
      </c>
      <c r="AG9" s="106">
        <v>2029</v>
      </c>
    </row>
    <row r="10" spans="1:33" x14ac:dyDescent="0.25">
      <c r="A10" s="549"/>
      <c r="B10" s="549"/>
      <c r="C10" s="549">
        <v>0</v>
      </c>
      <c r="D10" s="14">
        <v>1</v>
      </c>
      <c r="E10" s="14">
        <v>2</v>
      </c>
      <c r="F10" s="14">
        <v>3</v>
      </c>
      <c r="G10" s="549">
        <v>4</v>
      </c>
      <c r="H10" s="14">
        <v>5</v>
      </c>
      <c r="I10" s="14">
        <v>6</v>
      </c>
      <c r="J10" s="14">
        <v>7</v>
      </c>
      <c r="K10" s="14">
        <v>8</v>
      </c>
      <c r="L10" s="14">
        <v>9</v>
      </c>
      <c r="M10" s="14">
        <v>10</v>
      </c>
      <c r="N10" s="14">
        <v>11</v>
      </c>
      <c r="O10" s="14">
        <v>12</v>
      </c>
      <c r="P10" s="14">
        <v>13</v>
      </c>
      <c r="Q10" s="14">
        <v>14</v>
      </c>
      <c r="R10" s="14">
        <v>15</v>
      </c>
      <c r="S10" s="14">
        <v>16</v>
      </c>
      <c r="T10" s="14">
        <v>17</v>
      </c>
      <c r="U10" s="14">
        <v>18</v>
      </c>
      <c r="V10" s="14">
        <v>19</v>
      </c>
      <c r="W10" s="14">
        <v>20</v>
      </c>
      <c r="X10" s="14">
        <v>21</v>
      </c>
      <c r="Y10" s="14">
        <v>22</v>
      </c>
      <c r="Z10" s="14">
        <v>23</v>
      </c>
      <c r="AA10" s="14">
        <v>24</v>
      </c>
      <c r="AB10" s="14">
        <v>25</v>
      </c>
      <c r="AC10" s="14">
        <v>26</v>
      </c>
      <c r="AD10" s="14">
        <v>27</v>
      </c>
      <c r="AE10" s="14">
        <v>28</v>
      </c>
      <c r="AF10" s="14">
        <v>29</v>
      </c>
      <c r="AG10" s="14">
        <v>30</v>
      </c>
    </row>
    <row r="11" spans="1:33" ht="30" x14ac:dyDescent="0.25">
      <c r="A11" s="585" t="s">
        <v>667</v>
      </c>
      <c r="B11" s="584"/>
      <c r="C11" s="606">
        <f>+NPV(ACTUALMENTE!P28,ACTUALMENTE!A15:AG15)/B5</f>
        <v>1430584778.5821891</v>
      </c>
      <c r="D11" s="94">
        <f>+NPV(ACTUALMENTE!P28,ACTUALMENTE!A15:AG15)/$B$5</f>
        <v>1430584778.5821891</v>
      </c>
      <c r="E11" s="94">
        <f>+NPV(ACTUALMENTE!P28,ACTUALMENTE!A15:AG15)/$B$5</f>
        <v>1430584778.5821891</v>
      </c>
      <c r="F11" s="94">
        <f>+NPV(ACTUALMENTE!P28,ACTUALMENTE!A15:AG15)/$B$5</f>
        <v>1430584778.5821891</v>
      </c>
      <c r="G11" s="597">
        <f>+NPV(ACTUALMENTE!P28,ACTUALMENTE!A15:AG15)/$B$5</f>
        <v>1430584778.5821891</v>
      </c>
      <c r="H11" s="94">
        <f>+NPV(ACTUALMENTE!P28,ACTUALMENTE!A15:AG15)/$B$5</f>
        <v>1430584778.5821891</v>
      </c>
      <c r="I11" s="94">
        <f>+NPV(ACTUALMENTE!P28,ACTUALMENTE!A15:AG15)/$B$5</f>
        <v>1430584778.5821891</v>
      </c>
      <c r="J11" s="94">
        <f>+NPV(ACTUALMENTE!P28,ACTUALMENTE!A15:AG15)/$B$5</f>
        <v>1430584778.5821891</v>
      </c>
      <c r="K11" s="94">
        <f>+NPV(ACTUALMENTE!P28,ACTUALMENTE!A15:AG15)/$B$5</f>
        <v>1430584778.5821891</v>
      </c>
      <c r="L11" s="94">
        <f>+NPV(ACTUALMENTE!P28,ACTUALMENTE!A15:AG15)/$B$5</f>
        <v>1430584778.5821891</v>
      </c>
      <c r="M11" s="94">
        <f>+NPV(ACTUALMENTE!P28,ACTUALMENTE!A15:AG15)/$B$5</f>
        <v>1430584778.5821891</v>
      </c>
      <c r="N11" s="94">
        <f>+NPV(ACTUALMENTE!P28,ACTUALMENTE!A15:AG15)/$B$5</f>
        <v>1430584778.5821891</v>
      </c>
      <c r="O11" s="94">
        <f>+NPV(ACTUALMENTE!P28,ACTUALMENTE!A15:AG15)/$B$5</f>
        <v>1430584778.5821891</v>
      </c>
      <c r="P11" s="94">
        <f>+NPV(ACTUALMENTE!Q28,ACTUALMENTE!B15:AH15)/$B$5</f>
        <v>1430584778.5821891</v>
      </c>
      <c r="Q11" s="94">
        <f>+NPV(ACTUALMENTE!R28,ACTUALMENTE!C15:AI15)/$B$5</f>
        <v>1430584778.5821891</v>
      </c>
      <c r="R11" s="94">
        <f>+NPV(ACTUALMENTE!S28,ACTUALMENTE!D15:AJ15)/$B$5</f>
        <v>860037891.41698778</v>
      </c>
      <c r="S11" s="94">
        <f>+NPV(ACTUALMENTE!T28,ACTUALMENTE!E15:AK15)/$B$5</f>
        <v>868269010.69913733</v>
      </c>
      <c r="T11" s="94">
        <f>+NPV(ACTUALMENTE!U28,ACTUALMENTE!F15:AL15)/$B$5</f>
        <v>876243789.09177065</v>
      </c>
      <c r="U11" s="94">
        <f>+NPV(ACTUALMENTE!V28,ACTUALMENTE!G15:AM15)/$B$5</f>
        <v>883351725.37016869</v>
      </c>
      <c r="V11" s="94">
        <f>+NPV(ACTUALMENTE!W28,ACTUALMENTE!H15:AN15)/$B$5</f>
        <v>889499121.84038401</v>
      </c>
      <c r="W11" s="94">
        <f>+NPV(ACTUALMENTE!X28,ACTUALMENTE!I15:AO15)/$B$5</f>
        <v>894585327.10090315</v>
      </c>
      <c r="X11" s="94">
        <f>+NPV(ACTUALMENTE!Y28,ACTUALMENTE!J15:AP15)/$B$5</f>
        <v>898502273.89348304</v>
      </c>
      <c r="Y11" s="94">
        <f>+NPV(ACTUALMENTE!Z28,ACTUALMENTE!K15:AQ15)/$B$5</f>
        <v>901133987.57298911</v>
      </c>
      <c r="Z11" s="94">
        <f>+NPV(ACTUALMENTE!AA28,ACTUALMENTE!L15:AR15)/$B$5</f>
        <v>901971723.3985306</v>
      </c>
      <c r="AA11" s="94">
        <f>+NPV(ACTUALMENTE!AB28,ACTUALMENTE!M15:AS15)/$B$5</f>
        <v>901639240.30280447</v>
      </c>
      <c r="AB11" s="94">
        <f>+NPV(ACTUALMENTE!AC28,ACTUALMENTE!N15:AT15)/$B$5</f>
        <v>861744514.07825482</v>
      </c>
      <c r="AC11" s="94">
        <f>+NPV(ACTUALMENTE!AD28,ACTUALMENTE!O15:AU15)/$B$5</f>
        <v>845304139.42571378</v>
      </c>
      <c r="AD11" s="94">
        <f>+NPV(ACTUALMENTE!AE28,ACTUALMENTE!P15:AV15)/$B$5</f>
        <v>836958379.03642416</v>
      </c>
      <c r="AE11" s="94">
        <f>+NPV(ACTUALMENTE!AF28,ACTUALMENTE!Q15:AW15)/$B$5</f>
        <v>780776986.72777784</v>
      </c>
      <c r="AF11" s="94">
        <f>+NPV(ACTUALMENTE!AG28,ACTUALMENTE!R15:AX15)/$B$5</f>
        <v>767336151.86816525</v>
      </c>
      <c r="AG11" s="94">
        <f>+NPV(ACTUALMENTE!AH28,ACTUALMENTE!S15:AY15)/$B$5</f>
        <v>751236006.32172406</v>
      </c>
    </row>
    <row r="12" spans="1:33" x14ac:dyDescent="0.25">
      <c r="A12" s="549" t="s">
        <v>670</v>
      </c>
      <c r="B12" s="584"/>
      <c r="C12" s="584"/>
      <c r="D12" s="94">
        <f t="shared" ref="D12:O12" si="0">+C12+D11</f>
        <v>1430584778.5821891</v>
      </c>
      <c r="E12" s="94">
        <f t="shared" si="0"/>
        <v>2861169557.1643782</v>
      </c>
      <c r="F12" s="94">
        <f t="shared" si="0"/>
        <v>4291754335.7465672</v>
      </c>
      <c r="G12" s="597">
        <f t="shared" si="0"/>
        <v>5722339114.3287563</v>
      </c>
      <c r="H12" s="94">
        <f t="shared" si="0"/>
        <v>7152923892.9109459</v>
      </c>
      <c r="I12" s="94">
        <f t="shared" si="0"/>
        <v>8583508671.4931355</v>
      </c>
      <c r="J12" s="94">
        <f t="shared" si="0"/>
        <v>10014093450.075325</v>
      </c>
      <c r="K12" s="94">
        <f t="shared" si="0"/>
        <v>11444678228.657515</v>
      </c>
      <c r="L12" s="94">
        <f t="shared" si="0"/>
        <v>12875263007.239704</v>
      </c>
      <c r="M12" s="94">
        <f t="shared" si="0"/>
        <v>14305847785.821894</v>
      </c>
      <c r="N12" s="94">
        <f t="shared" si="0"/>
        <v>15736432564.404083</v>
      </c>
      <c r="O12" s="94">
        <f t="shared" si="0"/>
        <v>17167017342.986273</v>
      </c>
      <c r="P12" s="94">
        <f t="shared" ref="P12" si="1">+O12+P11</f>
        <v>18597602121.568462</v>
      </c>
      <c r="Q12" s="94">
        <f t="shared" ref="Q12" si="2">+P12+Q11</f>
        <v>20028186900.15065</v>
      </c>
      <c r="R12" s="94">
        <f t="shared" ref="R12" si="3">+Q12+R11</f>
        <v>20888224791.567638</v>
      </c>
      <c r="S12" s="94">
        <f t="shared" ref="S12" si="4">+R12+S11</f>
        <v>21756493802.266777</v>
      </c>
      <c r="T12" s="94">
        <f t="shared" ref="T12" si="5">+S12+T11</f>
        <v>22632737591.358547</v>
      </c>
      <c r="U12" s="94">
        <f t="shared" ref="U12" si="6">+T12+U11</f>
        <v>23516089316.728714</v>
      </c>
      <c r="V12" s="94">
        <f t="shared" ref="V12" si="7">+U12+V11</f>
        <v>24405588438.569099</v>
      </c>
      <c r="W12" s="94">
        <f t="shared" ref="W12" si="8">+V12+W11</f>
        <v>25300173765.670002</v>
      </c>
      <c r="X12" s="94">
        <f t="shared" ref="X12" si="9">+W12+X11</f>
        <v>26198676039.563484</v>
      </c>
      <c r="Y12" s="94">
        <f t="shared" ref="Y12" si="10">+X12+Y11</f>
        <v>27099810027.136475</v>
      </c>
      <c r="Z12" s="94">
        <f t="shared" ref="Z12" si="11">+Y12+Z11</f>
        <v>28001781750.535004</v>
      </c>
      <c r="AA12" s="94">
        <f t="shared" ref="AA12" si="12">+Z12+AA11</f>
        <v>28903420990.837807</v>
      </c>
      <c r="AB12" s="94">
        <f t="shared" ref="AB12" si="13">+AA12+AB11</f>
        <v>29765165504.916061</v>
      </c>
      <c r="AC12" s="94">
        <f t="shared" ref="AC12" si="14">+AB12+AC11</f>
        <v>30610469644.341774</v>
      </c>
      <c r="AD12" s="94">
        <f t="shared" ref="AD12" si="15">+AC12+AD11</f>
        <v>31447428023.378197</v>
      </c>
      <c r="AE12" s="94">
        <f t="shared" ref="AE12" si="16">+AD12+AE11</f>
        <v>32228205010.105976</v>
      </c>
      <c r="AF12" s="94">
        <f t="shared" ref="AF12" si="17">+AE12+AF11</f>
        <v>32995541161.97414</v>
      </c>
      <c r="AG12" s="94">
        <f t="shared" ref="AG12" si="18">+AF12+AG11</f>
        <v>33746777168.295864</v>
      </c>
    </row>
    <row r="13" spans="1:33" x14ac:dyDescent="0.25">
      <c r="A13" s="549" t="s">
        <v>31</v>
      </c>
      <c r="B13" s="584"/>
      <c r="C13" s="597">
        <f>NPV(ACTUALMENTE!P28,ACTUALMENTE!$A$15:$AG$15)</f>
        <v>42917543357.465675</v>
      </c>
      <c r="D13" s="94">
        <f>C13-D11</f>
        <v>41486958578.883484</v>
      </c>
      <c r="E13" s="94">
        <f t="shared" ref="E13:O13" si="19">D13-E11</f>
        <v>40056373800.301292</v>
      </c>
      <c r="F13" s="94">
        <f t="shared" si="19"/>
        <v>38625789021.719101</v>
      </c>
      <c r="G13" s="597">
        <f t="shared" si="19"/>
        <v>37195204243.136909</v>
      </c>
      <c r="H13" s="94">
        <f t="shared" si="19"/>
        <v>35764619464.554718</v>
      </c>
      <c r="I13" s="94">
        <f t="shared" si="19"/>
        <v>34334034685.97253</v>
      </c>
      <c r="J13" s="94">
        <f t="shared" si="19"/>
        <v>32903449907.390343</v>
      </c>
      <c r="K13" s="94">
        <f t="shared" si="19"/>
        <v>31472865128.808155</v>
      </c>
      <c r="L13" s="94">
        <f t="shared" si="19"/>
        <v>30042280350.225967</v>
      </c>
      <c r="M13" s="94">
        <f t="shared" si="19"/>
        <v>28611695571.64378</v>
      </c>
      <c r="N13" s="94">
        <f t="shared" si="19"/>
        <v>27181110793.061592</v>
      </c>
      <c r="O13" s="94">
        <f t="shared" si="19"/>
        <v>25750526014.479404</v>
      </c>
      <c r="P13" s="94">
        <f t="shared" ref="P13" si="20">O13-P11</f>
        <v>24319941235.897217</v>
      </c>
      <c r="Q13" s="94">
        <f t="shared" ref="Q13" si="21">P13-Q11</f>
        <v>22889356457.315029</v>
      </c>
      <c r="R13" s="94">
        <f t="shared" ref="R13" si="22">Q13-R11</f>
        <v>22029318565.898041</v>
      </c>
      <c r="S13" s="94">
        <f t="shared" ref="S13" si="23">R13-S11</f>
        <v>21161049555.198902</v>
      </c>
      <c r="T13" s="94">
        <f t="shared" ref="T13" si="24">S13-T11</f>
        <v>20284805766.107132</v>
      </c>
      <c r="U13" s="94">
        <f t="shared" ref="U13" si="25">T13-U11</f>
        <v>19401454040.736961</v>
      </c>
      <c r="V13" s="94">
        <f t="shared" ref="V13" si="26">U13-V11</f>
        <v>18511954918.896576</v>
      </c>
      <c r="W13" s="94">
        <f t="shared" ref="W13" si="27">V13-W11</f>
        <v>17617369591.795673</v>
      </c>
      <c r="X13" s="94">
        <f t="shared" ref="X13" si="28">W13-X11</f>
        <v>16718867317.902191</v>
      </c>
      <c r="Y13" s="94">
        <f t="shared" ref="Y13" si="29">X13-Y11</f>
        <v>15817733330.329203</v>
      </c>
      <c r="Z13" s="94">
        <f t="shared" ref="Z13" si="30">Y13-Z11</f>
        <v>14915761606.930672</v>
      </c>
      <c r="AA13" s="94">
        <f t="shared" ref="AA13" si="31">Z13-AA11</f>
        <v>14014122366.627867</v>
      </c>
      <c r="AB13" s="94">
        <f t="shared" ref="AB13" si="32">AA13-AB11</f>
        <v>13152377852.549612</v>
      </c>
      <c r="AC13" s="94">
        <f t="shared" ref="AC13" si="33">AB13-AC11</f>
        <v>12307073713.123898</v>
      </c>
      <c r="AD13" s="94">
        <f t="shared" ref="AD13" si="34">AC13-AD11</f>
        <v>11470115334.087473</v>
      </c>
      <c r="AE13" s="94">
        <f t="shared" ref="AE13" si="35">AD13-AE11</f>
        <v>10689338347.359695</v>
      </c>
      <c r="AF13" s="94">
        <f t="shared" ref="AF13" si="36">AE13-AF11</f>
        <v>9922002195.4915295</v>
      </c>
      <c r="AG13" s="94">
        <f t="shared" ref="AG13" si="37">AF13-AG11</f>
        <v>9170766189.1698055</v>
      </c>
    </row>
    <row r="14" spans="1:33" x14ac:dyDescent="0.25">
      <c r="H14" s="23"/>
      <c r="I14" s="23"/>
      <c r="J14" s="23"/>
      <c r="P14" s="280"/>
      <c r="Q14" s="2"/>
    </row>
    <row r="15" spans="1:33" x14ac:dyDescent="0.25">
      <c r="B15" s="453" t="s">
        <v>34</v>
      </c>
      <c r="C15" s="453">
        <v>0</v>
      </c>
      <c r="D15">
        <v>1</v>
      </c>
      <c r="E15">
        <v>2</v>
      </c>
      <c r="F15">
        <v>3</v>
      </c>
      <c r="G15" s="453">
        <v>4</v>
      </c>
      <c r="H15" s="23">
        <v>5</v>
      </c>
      <c r="I15">
        <v>6</v>
      </c>
      <c r="J15" s="23">
        <v>7</v>
      </c>
      <c r="K15">
        <v>8</v>
      </c>
      <c r="L15" s="23">
        <v>9</v>
      </c>
      <c r="M15">
        <v>10</v>
      </c>
      <c r="N15" s="23">
        <v>11</v>
      </c>
      <c r="O15">
        <v>12</v>
      </c>
      <c r="P15" s="23">
        <v>13</v>
      </c>
      <c r="Q15">
        <v>14</v>
      </c>
      <c r="R15" s="23">
        <v>15</v>
      </c>
      <c r="S15">
        <v>16</v>
      </c>
      <c r="T15" s="23">
        <v>17</v>
      </c>
      <c r="U15">
        <v>18</v>
      </c>
      <c r="V15" s="23">
        <v>19</v>
      </c>
      <c r="W15">
        <v>20</v>
      </c>
      <c r="X15" s="23">
        <v>21</v>
      </c>
      <c r="Y15">
        <v>22</v>
      </c>
      <c r="Z15" s="23">
        <v>23</v>
      </c>
      <c r="AA15">
        <v>24</v>
      </c>
      <c r="AB15" s="23">
        <v>25</v>
      </c>
      <c r="AC15">
        <v>26</v>
      </c>
      <c r="AD15" s="23">
        <v>27</v>
      </c>
      <c r="AE15">
        <v>28</v>
      </c>
      <c r="AF15" s="23">
        <v>29</v>
      </c>
      <c r="AG15">
        <v>30</v>
      </c>
    </row>
    <row r="16" spans="1:33" x14ac:dyDescent="0.25">
      <c r="A16" s="588" t="s">
        <v>671</v>
      </c>
      <c r="B16" s="589">
        <v>0.05</v>
      </c>
      <c r="C16" s="598"/>
      <c r="D16" s="87">
        <f>+REEMPLAZO!D10*$B$16</f>
        <v>615460231.5179013</v>
      </c>
      <c r="E16" s="87">
        <f>+REEMPLAZO!E10*$B$16</f>
        <v>725034711.08098888</v>
      </c>
      <c r="F16" s="87">
        <f>+REEMPLAZO!F10*$B$16</f>
        <v>863997892.79216003</v>
      </c>
      <c r="G16" s="598">
        <f>+REEMPLAZO!G10*$B$16</f>
        <v>1047978887.0785897</v>
      </c>
      <c r="H16" s="87">
        <f>+REEMPLAZO!H10*$B$16</f>
        <v>1000901555.3255755</v>
      </c>
      <c r="I16" s="87">
        <f>+REEMPLAZO!I10*$B$16</f>
        <v>902861497.18918347</v>
      </c>
      <c r="J16" s="87">
        <f>+REEMPLAZO!J10*$B$16</f>
        <v>968157135.8636378</v>
      </c>
      <c r="K16" s="87">
        <f>+REEMPLAZO!K10*$B$16</f>
        <v>864285942.99682486</v>
      </c>
      <c r="L16" s="87">
        <f>+REEMPLAZO!L10*$B$16</f>
        <v>891245471.23970366</v>
      </c>
      <c r="M16" s="87">
        <f>+REEMPLAZO!M10*$B$16</f>
        <v>955869541.84876788</v>
      </c>
      <c r="N16" s="87">
        <f>+REEMPLAZO!N10*$B$16</f>
        <v>878153984.89759314</v>
      </c>
      <c r="O16" s="87">
        <f>+REEMPLAZO!O10*$B$16</f>
        <v>926705955.76009238</v>
      </c>
      <c r="P16" s="87">
        <f>+REEMPLAZO!P10*$B$16</f>
        <v>1000329269.3180943</v>
      </c>
      <c r="Q16" s="87">
        <f>+REEMPLAZO!Q10*$B$16</f>
        <v>1057853905.9219853</v>
      </c>
      <c r="R16" s="87">
        <f>+REEMPLAZO!R10*$B$16</f>
        <v>1122260381.6555798</v>
      </c>
      <c r="S16" s="87">
        <f>+REEMPLAZO!S10*$B$16</f>
        <v>1190588673.2929647</v>
      </c>
      <c r="T16" s="87">
        <f>+REEMPLAZO!T10*$B$16</f>
        <v>1263077602.1916921</v>
      </c>
      <c r="U16" s="87">
        <f>+REEMPLAZO!U10*$B$16</f>
        <v>1339980533.3785982</v>
      </c>
      <c r="V16" s="87">
        <f>+REEMPLAZO!V10*$B$16</f>
        <v>1421566261.241616</v>
      </c>
      <c r="W16" s="87">
        <f>+REEMPLAZO!W10*$B$16</f>
        <v>1508119949.1596603</v>
      </c>
      <c r="X16" s="87">
        <f>+REEMPLAZO!X10*$B$16</f>
        <v>1599944126.3553836</v>
      </c>
      <c r="Y16" s="87">
        <f>+REEMPLAZO!Y10*$B$16</f>
        <v>1697359745.455667</v>
      </c>
      <c r="Z16" s="87">
        <f>+REEMPLAZO!Z10*$B$16</f>
        <v>1800707304.4569254</v>
      </c>
      <c r="AA16" s="87">
        <f>+REEMPLAZO!AA10*$B$16</f>
        <v>1910348037.017457</v>
      </c>
      <c r="AB16" s="87">
        <f>+REEMPLAZO!AB10*$B$16</f>
        <v>2026665175.2379358</v>
      </c>
      <c r="AC16" s="87">
        <f>+REEMPLAZO!AC10*$B$16</f>
        <v>2150065289.3445578</v>
      </c>
      <c r="AD16" s="87">
        <f>+REEMPLAZO!AD10*$B$16</f>
        <v>2280979708.9581809</v>
      </c>
      <c r="AE16" s="87">
        <f>+REEMPLAZO!AE10*$B$16</f>
        <v>2419866030.918035</v>
      </c>
      <c r="AF16" s="87">
        <f>+REEMPLAZO!AF10*$B$16</f>
        <v>2567209718.9311423</v>
      </c>
      <c r="AG16" s="87">
        <f>+REEMPLAZO!AG10*$B$16</f>
        <v>2723525800.6396141</v>
      </c>
    </row>
    <row r="17" spans="1:33" x14ac:dyDescent="0.25">
      <c r="A17" s="588" t="s">
        <v>704</v>
      </c>
      <c r="B17" s="590"/>
      <c r="C17" s="599"/>
      <c r="D17" s="96">
        <f>+D16</f>
        <v>615460231.5179013</v>
      </c>
      <c r="E17" s="96">
        <f t="shared" ref="E17:AG17" si="38">+E16-D16</f>
        <v>109574479.56308758</v>
      </c>
      <c r="F17" s="96">
        <f t="shared" si="38"/>
        <v>138963181.71117115</v>
      </c>
      <c r="G17" s="599">
        <f t="shared" si="38"/>
        <v>183980994.28642964</v>
      </c>
      <c r="H17" s="96">
        <f t="shared" si="38"/>
        <v>-47077331.753014207</v>
      </c>
      <c r="I17" s="96">
        <f t="shared" si="38"/>
        <v>-98040058.136391997</v>
      </c>
      <c r="J17" s="96">
        <f t="shared" si="38"/>
        <v>65295638.674454331</v>
      </c>
      <c r="K17" s="96">
        <f t="shared" si="38"/>
        <v>-103871192.86681294</v>
      </c>
      <c r="L17" s="96">
        <f t="shared" si="38"/>
        <v>26959528.242878795</v>
      </c>
      <c r="M17" s="96">
        <f t="shared" si="38"/>
        <v>64624070.609064221</v>
      </c>
      <c r="N17" s="96">
        <f t="shared" si="38"/>
        <v>-77715556.951174736</v>
      </c>
      <c r="O17" s="96">
        <f t="shared" si="38"/>
        <v>48551970.862499237</v>
      </c>
      <c r="P17" s="96">
        <f t="shared" si="38"/>
        <v>73623313.558001876</v>
      </c>
      <c r="Q17" s="96">
        <f t="shared" si="38"/>
        <v>57524636.603891015</v>
      </c>
      <c r="R17" s="96">
        <f t="shared" si="38"/>
        <v>64406475.733594537</v>
      </c>
      <c r="S17" s="96">
        <f t="shared" si="38"/>
        <v>68328291.637384892</v>
      </c>
      <c r="T17" s="96">
        <f t="shared" si="38"/>
        <v>72488928.898727417</v>
      </c>
      <c r="U17" s="96">
        <f t="shared" si="38"/>
        <v>76902931.186906099</v>
      </c>
      <c r="V17" s="96">
        <f t="shared" si="38"/>
        <v>81585727.863017797</v>
      </c>
      <c r="W17" s="96">
        <f t="shared" si="38"/>
        <v>86553687.918044329</v>
      </c>
      <c r="X17" s="96">
        <f t="shared" si="38"/>
        <v>91824177.195723295</v>
      </c>
      <c r="Y17" s="96">
        <f t="shared" si="38"/>
        <v>97415619.100283384</v>
      </c>
      <c r="Z17" s="96">
        <f t="shared" si="38"/>
        <v>103347559.00125837</v>
      </c>
      <c r="AA17" s="96">
        <f t="shared" si="38"/>
        <v>109640732.56053162</v>
      </c>
      <c r="AB17" s="96">
        <f t="shared" si="38"/>
        <v>116317138.22047877</v>
      </c>
      <c r="AC17" s="96">
        <f t="shared" si="38"/>
        <v>123400114.10662198</v>
      </c>
      <c r="AD17" s="96">
        <f t="shared" si="38"/>
        <v>130914419.61362314</v>
      </c>
      <c r="AE17" s="96">
        <f t="shared" si="38"/>
        <v>138886321.95985413</v>
      </c>
      <c r="AF17" s="96">
        <f t="shared" si="38"/>
        <v>147343688.0131073</v>
      </c>
      <c r="AG17" s="96">
        <f t="shared" si="38"/>
        <v>156316081.70847178</v>
      </c>
    </row>
    <row r="18" spans="1:33" x14ac:dyDescent="0.25">
      <c r="B18" s="590"/>
      <c r="C18" s="607"/>
      <c r="D18" s="16"/>
      <c r="E18" s="16"/>
      <c r="F18" s="16"/>
      <c r="G18" s="590"/>
      <c r="H18" s="97"/>
      <c r="I18" s="97"/>
      <c r="J18" s="97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 x14ac:dyDescent="0.25">
      <c r="H19" s="23"/>
      <c r="I19" s="23"/>
      <c r="J19" s="23"/>
    </row>
    <row r="20" spans="1:33" ht="26.25" x14ac:dyDescent="0.4">
      <c r="B20" s="602" t="s">
        <v>433</v>
      </c>
      <c r="H20" s="23"/>
      <c r="I20" s="23"/>
      <c r="J20" s="23"/>
    </row>
    <row r="22" spans="1:33" x14ac:dyDescent="0.25">
      <c r="A22" s="549"/>
      <c r="B22" s="583" t="s">
        <v>2</v>
      </c>
      <c r="C22" s="549" t="s">
        <v>0</v>
      </c>
      <c r="D22" s="14" t="s">
        <v>1</v>
      </c>
      <c r="E22" s="14" t="s">
        <v>32</v>
      </c>
      <c r="F22" s="14" t="s">
        <v>35</v>
      </c>
      <c r="G22" s="549" t="s">
        <v>36</v>
      </c>
      <c r="H22" s="14" t="s">
        <v>37</v>
      </c>
      <c r="J22" s="13"/>
      <c r="K22" s="13"/>
      <c r="L22" s="16"/>
    </row>
    <row r="23" spans="1:33" x14ac:dyDescent="0.25">
      <c r="A23" s="549" t="s">
        <v>30</v>
      </c>
      <c r="B23" s="584">
        <v>30</v>
      </c>
      <c r="C23" s="603">
        <v>1</v>
      </c>
      <c r="D23" s="93">
        <f>+ACTUALMENTE!D63*C23</f>
        <v>0</v>
      </c>
      <c r="E23" s="93">
        <f>+D23*0</f>
        <v>0</v>
      </c>
      <c r="F23" s="93">
        <f>+E23</f>
        <v>0</v>
      </c>
      <c r="G23" s="558">
        <f>+F23*0.33</f>
        <v>0</v>
      </c>
      <c r="H23" s="94">
        <f>+F23-G23</f>
        <v>0</v>
      </c>
      <c r="J23" s="13"/>
      <c r="K23" s="16"/>
      <c r="L23" s="16"/>
    </row>
    <row r="24" spans="1:33" ht="30" x14ac:dyDescent="0.25">
      <c r="A24" s="585" t="s">
        <v>667</v>
      </c>
      <c r="B24" s="584">
        <v>30</v>
      </c>
      <c r="C24" s="603">
        <v>1</v>
      </c>
      <c r="D24" s="232">
        <f>'CAPEX UC'!B3</f>
        <v>34200000000</v>
      </c>
      <c r="E24" s="93">
        <f>+D24*0</f>
        <v>0</v>
      </c>
      <c r="F24" s="93">
        <f>+E24</f>
        <v>0</v>
      </c>
      <c r="G24" s="558">
        <f>+F24*0.33</f>
        <v>0</v>
      </c>
      <c r="H24" s="94">
        <f>+F24-G24</f>
        <v>0</v>
      </c>
      <c r="J24" s="16"/>
      <c r="K24" s="16"/>
      <c r="L24" s="16"/>
    </row>
    <row r="25" spans="1:33" x14ac:dyDescent="0.25">
      <c r="A25" s="549" t="s">
        <v>33</v>
      </c>
      <c r="B25" s="584"/>
      <c r="C25" s="603"/>
      <c r="D25" s="93">
        <f>+ACTUALMENTE!D62</f>
        <v>0</v>
      </c>
      <c r="E25" s="94">
        <f>+D25*1.3</f>
        <v>0</v>
      </c>
      <c r="F25" s="93">
        <v>0</v>
      </c>
      <c r="G25" s="558">
        <v>0</v>
      </c>
      <c r="H25" s="94">
        <f>+E25</f>
        <v>0</v>
      </c>
    </row>
    <row r="26" spans="1:33" x14ac:dyDescent="0.25">
      <c r="A26" s="549" t="s">
        <v>668</v>
      </c>
      <c r="B26" s="584"/>
      <c r="C26" s="603"/>
      <c r="D26" s="93"/>
      <c r="E26" s="95">
        <v>0</v>
      </c>
      <c r="F26" s="93">
        <v>0</v>
      </c>
      <c r="G26" s="558">
        <v>0</v>
      </c>
      <c r="H26" s="95">
        <f>+E26</f>
        <v>0</v>
      </c>
    </row>
    <row r="27" spans="1:33" x14ac:dyDescent="0.25">
      <c r="A27" s="549"/>
      <c r="B27" s="549"/>
      <c r="C27" s="604"/>
      <c r="D27" s="26"/>
      <c r="E27" s="27"/>
      <c r="F27" s="14"/>
      <c r="G27" s="549" t="s">
        <v>38</v>
      </c>
      <c r="H27" s="19">
        <f>SUM(H23:H26)</f>
        <v>0</v>
      </c>
    </row>
    <row r="28" spans="1:33" ht="18.75" x14ac:dyDescent="0.3">
      <c r="A28" s="586" t="s">
        <v>669</v>
      </c>
      <c r="B28" s="587"/>
      <c r="C28" s="596">
        <v>2013</v>
      </c>
      <c r="D28" s="106">
        <v>2014</v>
      </c>
      <c r="E28" s="106">
        <v>2015</v>
      </c>
      <c r="F28" s="106">
        <v>2016</v>
      </c>
      <c r="G28" s="596">
        <v>2017</v>
      </c>
      <c r="H28" s="106">
        <v>2018</v>
      </c>
      <c r="I28" s="106">
        <v>2019</v>
      </c>
      <c r="J28" s="106">
        <v>2020</v>
      </c>
      <c r="K28" s="106">
        <v>2021</v>
      </c>
      <c r="L28" s="106">
        <v>2022</v>
      </c>
      <c r="M28" s="106">
        <v>2023</v>
      </c>
      <c r="N28" s="106">
        <v>2024</v>
      </c>
      <c r="O28" s="106">
        <v>2025</v>
      </c>
      <c r="P28" s="106">
        <v>2026</v>
      </c>
      <c r="Q28" s="106">
        <v>2027</v>
      </c>
      <c r="R28" s="106">
        <v>2028</v>
      </c>
      <c r="S28" s="106">
        <v>2029</v>
      </c>
      <c r="T28" s="106">
        <v>2030</v>
      </c>
      <c r="U28" s="106">
        <v>2031</v>
      </c>
      <c r="V28" s="106">
        <v>2032</v>
      </c>
      <c r="W28" s="106">
        <v>2033</v>
      </c>
      <c r="X28" s="106">
        <v>2034</v>
      </c>
      <c r="Y28" s="106">
        <v>2035</v>
      </c>
      <c r="Z28" s="106">
        <v>2036</v>
      </c>
      <c r="AA28" s="106">
        <v>2037</v>
      </c>
      <c r="AB28" s="106">
        <v>2038</v>
      </c>
      <c r="AC28" s="106">
        <v>2039</v>
      </c>
      <c r="AD28" s="106">
        <v>2040</v>
      </c>
      <c r="AE28" s="106">
        <v>2041</v>
      </c>
      <c r="AF28" s="106">
        <v>2042</v>
      </c>
    </row>
    <row r="29" spans="1:33" x14ac:dyDescent="0.25">
      <c r="A29" s="549"/>
      <c r="B29" s="549"/>
      <c r="C29" s="549">
        <v>14</v>
      </c>
      <c r="D29" s="14">
        <v>15</v>
      </c>
      <c r="E29" s="14">
        <v>16</v>
      </c>
      <c r="F29" s="14">
        <v>17</v>
      </c>
      <c r="G29" s="549">
        <v>18</v>
      </c>
      <c r="H29" s="14">
        <v>19</v>
      </c>
      <c r="I29" s="14">
        <v>20</v>
      </c>
      <c r="J29" s="14">
        <v>21</v>
      </c>
      <c r="K29" s="14">
        <v>22</v>
      </c>
      <c r="L29" s="14">
        <v>23</v>
      </c>
      <c r="M29" s="14">
        <v>24</v>
      </c>
      <c r="N29" s="14">
        <v>25</v>
      </c>
      <c r="O29" s="14">
        <v>26</v>
      </c>
      <c r="P29" s="14">
        <v>27</v>
      </c>
      <c r="Q29" s="14">
        <v>28</v>
      </c>
      <c r="R29" s="14">
        <v>29</v>
      </c>
      <c r="S29" s="14">
        <v>30</v>
      </c>
      <c r="T29" s="14">
        <v>31</v>
      </c>
      <c r="U29" s="14">
        <v>32</v>
      </c>
      <c r="V29" s="14">
        <v>33</v>
      </c>
      <c r="W29" s="14">
        <v>34</v>
      </c>
      <c r="X29" s="14">
        <v>35</v>
      </c>
      <c r="Y29" s="14">
        <v>36</v>
      </c>
      <c r="Z29" s="14">
        <v>37</v>
      </c>
      <c r="AA29" s="14">
        <v>38</v>
      </c>
      <c r="AB29" s="14">
        <v>39</v>
      </c>
      <c r="AC29" s="14">
        <v>40</v>
      </c>
      <c r="AD29" s="14">
        <v>41</v>
      </c>
      <c r="AE29" s="14">
        <v>42</v>
      </c>
      <c r="AF29" s="14">
        <v>43</v>
      </c>
    </row>
    <row r="30" spans="1:33" ht="30" x14ac:dyDescent="0.25">
      <c r="A30" s="585" t="s">
        <v>667</v>
      </c>
      <c r="B30" s="584"/>
      <c r="C30" s="597">
        <f>D24/B24</f>
        <v>1140000000</v>
      </c>
      <c r="D30" s="94">
        <f>C30</f>
        <v>1140000000</v>
      </c>
      <c r="E30" s="94">
        <f t="shared" ref="E30:S30" si="39">D30</f>
        <v>1140000000</v>
      </c>
      <c r="F30" s="94">
        <f t="shared" si="39"/>
        <v>1140000000</v>
      </c>
      <c r="G30" s="597">
        <f t="shared" si="39"/>
        <v>1140000000</v>
      </c>
      <c r="H30" s="94">
        <f t="shared" si="39"/>
        <v>1140000000</v>
      </c>
      <c r="I30" s="94">
        <f t="shared" si="39"/>
        <v>1140000000</v>
      </c>
      <c r="J30" s="94">
        <f t="shared" si="39"/>
        <v>1140000000</v>
      </c>
      <c r="K30" s="94">
        <f t="shared" si="39"/>
        <v>1140000000</v>
      </c>
      <c r="L30" s="94">
        <f t="shared" si="39"/>
        <v>1140000000</v>
      </c>
      <c r="M30" s="94">
        <f t="shared" si="39"/>
        <v>1140000000</v>
      </c>
      <c r="N30" s="94">
        <f t="shared" si="39"/>
        <v>1140000000</v>
      </c>
      <c r="O30" s="94">
        <f t="shared" si="39"/>
        <v>1140000000</v>
      </c>
      <c r="P30" s="94">
        <f t="shared" si="39"/>
        <v>1140000000</v>
      </c>
      <c r="Q30" s="94">
        <f t="shared" si="39"/>
        <v>1140000000</v>
      </c>
      <c r="R30" s="94">
        <f t="shared" si="39"/>
        <v>1140000000</v>
      </c>
      <c r="S30" s="94">
        <f t="shared" si="39"/>
        <v>1140000000</v>
      </c>
      <c r="T30" s="94">
        <f t="shared" ref="T30:AF30" si="40">S30</f>
        <v>1140000000</v>
      </c>
      <c r="U30" s="94">
        <f t="shared" si="40"/>
        <v>1140000000</v>
      </c>
      <c r="V30" s="94">
        <f t="shared" si="40"/>
        <v>1140000000</v>
      </c>
      <c r="W30" s="94">
        <f t="shared" si="40"/>
        <v>1140000000</v>
      </c>
      <c r="X30" s="94">
        <f t="shared" si="40"/>
        <v>1140000000</v>
      </c>
      <c r="Y30" s="94">
        <f t="shared" si="40"/>
        <v>1140000000</v>
      </c>
      <c r="Z30" s="94">
        <f t="shared" si="40"/>
        <v>1140000000</v>
      </c>
      <c r="AA30" s="94">
        <f t="shared" si="40"/>
        <v>1140000000</v>
      </c>
      <c r="AB30" s="94">
        <f t="shared" si="40"/>
        <v>1140000000</v>
      </c>
      <c r="AC30" s="94">
        <f t="shared" si="40"/>
        <v>1140000000</v>
      </c>
      <c r="AD30" s="94">
        <f t="shared" si="40"/>
        <v>1140000000</v>
      </c>
      <c r="AE30" s="94">
        <f t="shared" si="40"/>
        <v>1140000000</v>
      </c>
      <c r="AF30" s="94">
        <f t="shared" si="40"/>
        <v>1140000000</v>
      </c>
    </row>
    <row r="31" spans="1:33" x14ac:dyDescent="0.25">
      <c r="A31" s="549" t="s">
        <v>670</v>
      </c>
      <c r="B31" s="584"/>
      <c r="C31" s="597">
        <f t="shared" ref="C31:AF31" si="41">+B31+C30</f>
        <v>1140000000</v>
      </c>
      <c r="D31" s="94">
        <f t="shared" si="41"/>
        <v>2280000000</v>
      </c>
      <c r="E31" s="94">
        <f t="shared" si="41"/>
        <v>3420000000</v>
      </c>
      <c r="F31" s="94">
        <f t="shared" si="41"/>
        <v>4560000000</v>
      </c>
      <c r="G31" s="597">
        <f t="shared" si="41"/>
        <v>5700000000</v>
      </c>
      <c r="H31" s="94">
        <f t="shared" si="41"/>
        <v>6840000000</v>
      </c>
      <c r="I31" s="94">
        <f t="shared" si="41"/>
        <v>7980000000</v>
      </c>
      <c r="J31" s="94">
        <f t="shared" si="41"/>
        <v>9120000000</v>
      </c>
      <c r="K31" s="94">
        <f t="shared" si="41"/>
        <v>10260000000</v>
      </c>
      <c r="L31" s="94">
        <f t="shared" si="41"/>
        <v>11400000000</v>
      </c>
      <c r="M31" s="94">
        <f t="shared" si="41"/>
        <v>12540000000</v>
      </c>
      <c r="N31" s="94">
        <f t="shared" si="41"/>
        <v>13680000000</v>
      </c>
      <c r="O31" s="94">
        <f t="shared" si="41"/>
        <v>14820000000</v>
      </c>
      <c r="P31" s="94">
        <f t="shared" si="41"/>
        <v>15960000000</v>
      </c>
      <c r="Q31" s="94">
        <f t="shared" si="41"/>
        <v>17100000000</v>
      </c>
      <c r="R31" s="94">
        <f t="shared" si="41"/>
        <v>18240000000</v>
      </c>
      <c r="S31" s="94">
        <f t="shared" si="41"/>
        <v>19380000000</v>
      </c>
      <c r="T31" s="94">
        <f t="shared" si="41"/>
        <v>20520000000</v>
      </c>
      <c r="U31" s="94">
        <f t="shared" si="41"/>
        <v>21660000000</v>
      </c>
      <c r="V31" s="94">
        <f t="shared" si="41"/>
        <v>22800000000</v>
      </c>
      <c r="W31" s="94">
        <f t="shared" si="41"/>
        <v>23940000000</v>
      </c>
      <c r="X31" s="94">
        <f t="shared" si="41"/>
        <v>25080000000</v>
      </c>
      <c r="Y31" s="94">
        <f t="shared" si="41"/>
        <v>26220000000</v>
      </c>
      <c r="Z31" s="94">
        <f t="shared" si="41"/>
        <v>27360000000</v>
      </c>
      <c r="AA31" s="94">
        <f t="shared" si="41"/>
        <v>28500000000</v>
      </c>
      <c r="AB31" s="94">
        <f t="shared" si="41"/>
        <v>29640000000</v>
      </c>
      <c r="AC31" s="94">
        <f t="shared" si="41"/>
        <v>30780000000</v>
      </c>
      <c r="AD31" s="94">
        <f t="shared" si="41"/>
        <v>31920000000</v>
      </c>
      <c r="AE31" s="94">
        <f t="shared" si="41"/>
        <v>33060000000</v>
      </c>
      <c r="AF31" s="94">
        <f t="shared" si="41"/>
        <v>34200000000</v>
      </c>
    </row>
    <row r="32" spans="1:33" x14ac:dyDescent="0.25">
      <c r="A32" s="549" t="s">
        <v>31</v>
      </c>
      <c r="B32" s="608">
        <f>D24</f>
        <v>34200000000</v>
      </c>
      <c r="C32" s="597">
        <f t="shared" ref="C32:AF32" si="42">B32-C30</f>
        <v>33060000000</v>
      </c>
      <c r="D32" s="94">
        <f t="shared" si="42"/>
        <v>31920000000</v>
      </c>
      <c r="E32" s="94">
        <f t="shared" si="42"/>
        <v>30780000000</v>
      </c>
      <c r="F32" s="94">
        <f t="shared" si="42"/>
        <v>29640000000</v>
      </c>
      <c r="G32" s="597">
        <f t="shared" si="42"/>
        <v>28500000000</v>
      </c>
      <c r="H32" s="94">
        <f t="shared" si="42"/>
        <v>27360000000</v>
      </c>
      <c r="I32" s="94">
        <f t="shared" si="42"/>
        <v>26220000000</v>
      </c>
      <c r="J32" s="94">
        <f t="shared" si="42"/>
        <v>25080000000</v>
      </c>
      <c r="K32" s="94">
        <f t="shared" si="42"/>
        <v>23940000000</v>
      </c>
      <c r="L32" s="94">
        <f t="shared" si="42"/>
        <v>22800000000</v>
      </c>
      <c r="M32" s="94">
        <f t="shared" si="42"/>
        <v>21660000000</v>
      </c>
      <c r="N32" s="94">
        <f t="shared" si="42"/>
        <v>20520000000</v>
      </c>
      <c r="O32" s="94">
        <f t="shared" si="42"/>
        <v>19380000000</v>
      </c>
      <c r="P32" s="94">
        <f t="shared" si="42"/>
        <v>18240000000</v>
      </c>
      <c r="Q32" s="94">
        <f t="shared" si="42"/>
        <v>17100000000</v>
      </c>
      <c r="R32" s="94">
        <f t="shared" si="42"/>
        <v>15960000000</v>
      </c>
      <c r="S32" s="94">
        <f t="shared" si="42"/>
        <v>14820000000</v>
      </c>
      <c r="T32" s="94">
        <f t="shared" si="42"/>
        <v>13680000000</v>
      </c>
      <c r="U32" s="94">
        <f t="shared" si="42"/>
        <v>12540000000</v>
      </c>
      <c r="V32" s="94">
        <f t="shared" si="42"/>
        <v>11400000000</v>
      </c>
      <c r="W32" s="94">
        <f t="shared" si="42"/>
        <v>10260000000</v>
      </c>
      <c r="X32" s="94">
        <f t="shared" si="42"/>
        <v>9120000000</v>
      </c>
      <c r="Y32" s="94">
        <f t="shared" si="42"/>
        <v>7980000000</v>
      </c>
      <c r="Z32" s="94">
        <f t="shared" si="42"/>
        <v>6840000000</v>
      </c>
      <c r="AA32" s="94">
        <f t="shared" si="42"/>
        <v>5700000000</v>
      </c>
      <c r="AB32" s="94">
        <f t="shared" si="42"/>
        <v>4560000000</v>
      </c>
      <c r="AC32" s="94">
        <f t="shared" si="42"/>
        <v>3420000000</v>
      </c>
      <c r="AD32" s="94">
        <f t="shared" si="42"/>
        <v>2280000000</v>
      </c>
      <c r="AE32" s="94">
        <f t="shared" si="42"/>
        <v>1140000000</v>
      </c>
      <c r="AF32" s="94">
        <f t="shared" si="42"/>
        <v>0</v>
      </c>
    </row>
    <row r="33" spans="1:46" x14ac:dyDescent="0.25">
      <c r="H33" s="23"/>
      <c r="I33" s="23"/>
      <c r="J33" s="23"/>
      <c r="P33" s="280"/>
      <c r="Q33" s="2"/>
    </row>
    <row r="34" spans="1:46" x14ac:dyDescent="0.25">
      <c r="B34" s="453" t="s">
        <v>34</v>
      </c>
      <c r="C34" s="453">
        <v>0</v>
      </c>
      <c r="D34">
        <v>1</v>
      </c>
      <c r="E34">
        <v>2</v>
      </c>
      <c r="F34">
        <v>3</v>
      </c>
      <c r="G34" s="453">
        <v>4</v>
      </c>
      <c r="H34" s="23">
        <v>5</v>
      </c>
      <c r="I34">
        <v>6</v>
      </c>
      <c r="J34" s="23">
        <v>7</v>
      </c>
      <c r="K34">
        <v>8</v>
      </c>
      <c r="L34" s="23">
        <v>9</v>
      </c>
      <c r="M34">
        <v>10</v>
      </c>
      <c r="N34" s="23">
        <v>11</v>
      </c>
      <c r="O34">
        <v>12</v>
      </c>
      <c r="P34" s="23">
        <v>13</v>
      </c>
      <c r="Q34">
        <v>14</v>
      </c>
      <c r="R34" s="23">
        <v>15</v>
      </c>
      <c r="S34">
        <v>16</v>
      </c>
      <c r="T34" s="23">
        <v>17</v>
      </c>
      <c r="U34">
        <v>18</v>
      </c>
      <c r="V34" s="23">
        <v>19</v>
      </c>
      <c r="W34">
        <v>20</v>
      </c>
      <c r="X34" s="23">
        <v>21</v>
      </c>
      <c r="Y34">
        <v>22</v>
      </c>
      <c r="Z34" s="23">
        <v>23</v>
      </c>
      <c r="AA34">
        <v>24</v>
      </c>
      <c r="AB34" s="23">
        <v>25</v>
      </c>
      <c r="AC34">
        <v>26</v>
      </c>
      <c r="AD34" s="23">
        <v>27</v>
      </c>
      <c r="AE34">
        <v>28</v>
      </c>
      <c r="AF34" s="23">
        <v>29</v>
      </c>
    </row>
    <row r="35" spans="1:46" x14ac:dyDescent="0.25">
      <c r="A35" s="588" t="s">
        <v>671</v>
      </c>
      <c r="B35" s="589">
        <v>0.05</v>
      </c>
      <c r="C35" s="598"/>
      <c r="D35" s="87">
        <f>+ACTUALMENTE!D30*$B$16</f>
        <v>5.5518898122404042E-2</v>
      </c>
      <c r="E35" s="87">
        <f>+ACTUALMENTE!E30*$B$16</f>
        <v>5.9367181193731647E-2</v>
      </c>
      <c r="F35" s="87">
        <f>+ACTUALMENTE!F30*$B$16</f>
        <v>6.4876723809995082E-2</v>
      </c>
      <c r="G35" s="598">
        <f>+ACTUALMENTE!G30*$B$16</f>
        <v>6.8590086565493188E-2</v>
      </c>
      <c r="H35" s="87">
        <f>+ACTUALMENTE!H30*$B$16</f>
        <v>7.1772968927348704E-2</v>
      </c>
      <c r="I35" s="87">
        <f>+ACTUALMENTE!I30*$B$16</f>
        <v>7.3257324356171077E-2</v>
      </c>
      <c r="J35" s="87">
        <f>+ACTUALMENTE!J30*$B$16</f>
        <v>7.731676352063932E-2</v>
      </c>
      <c r="K35" s="87">
        <f>+ACTUALMENTE!K30*$B$16</f>
        <v>7.830009680242718E-2</v>
      </c>
      <c r="L35" s="87">
        <f>+ACTUALMENTE!L30*$B$16</f>
        <v>8.5343865107518735E-2</v>
      </c>
      <c r="M35" s="87">
        <f>+ACTUALMENTE!M30*$B$16</f>
        <v>8.3480495702652646E-2</v>
      </c>
      <c r="N35" s="87">
        <f>+ACTUALMENTE!N30*$B$16</f>
        <v>8.712991627981781E-2</v>
      </c>
      <c r="O35" s="87">
        <f>+ACTUALMENTE!O30*$B$16</f>
        <v>9.1660764708247411E-2</v>
      </c>
      <c r="P35" s="87">
        <f>+ACTUALMENTE!P30*$B$16</f>
        <v>9.4410587649494837E-2</v>
      </c>
      <c r="Q35" s="87">
        <f>+ACTUALMENTE!Q30*$B$16</f>
        <v>9.7242905278979677E-2</v>
      </c>
      <c r="R35" s="87">
        <f>+ACTUALMENTE!R30*$B$16</f>
        <v>0.10016019243734907</v>
      </c>
      <c r="S35" s="87">
        <f>+ACTUALMENTE!S30*$B$16</f>
        <v>0.10316499821046954</v>
      </c>
      <c r="T35" s="87">
        <f>$B$35*REEMPLAZO!AH10</f>
        <v>2889360668.0385499</v>
      </c>
      <c r="U35" s="87">
        <f>$B$35*REEMPLAZO!AI10</f>
        <v>3065293987.5385599</v>
      </c>
      <c r="V35" s="87">
        <f>$B$35*REEMPLAZO!AJ10</f>
        <v>3251940726.3502474</v>
      </c>
      <c r="W35" s="87">
        <f>$B$35*REEMPLAZO!AK10</f>
        <v>3449953302.2746263</v>
      </c>
      <c r="X35" s="87">
        <f>$B$35*REEMPLAZO!AL10</f>
        <v>3660023864.4148684</v>
      </c>
      <c r="Y35" s="87">
        <f>$B$35*REEMPLAZO!AM10</f>
        <v>3882886712.7824655</v>
      </c>
      <c r="Z35" s="87">
        <f>$B$35*REEMPLAZO!AN10</f>
        <v>4119320865.2564411</v>
      </c>
      <c r="AA35" s="87">
        <f>$B$35*REEMPLAZO!AO10</f>
        <v>4370152780.8693771</v>
      </c>
      <c r="AB35" s="87">
        <f>$B$35*REEMPLAZO!AP10</f>
        <v>4636259248.9405451</v>
      </c>
      <c r="AC35" s="87">
        <f>$B$35*REEMPLAZO!AQ10</f>
        <v>4918570454.1561651</v>
      </c>
      <c r="AD35" s="87">
        <f>$B$35*REEMPLAZO!AR10</f>
        <v>5218073228.3119822</v>
      </c>
      <c r="AE35" s="87">
        <f>$B$35*REEMPLAZO!AS10</f>
        <v>5535814500.0858145</v>
      </c>
      <c r="AF35" s="87">
        <f>$B$35*REEMPLAZO!AT10</f>
        <v>5872904954.9001017</v>
      </c>
    </row>
    <row r="36" spans="1:46" x14ac:dyDescent="0.25">
      <c r="A36" s="588" t="s">
        <v>672</v>
      </c>
      <c r="B36" s="590"/>
      <c r="C36" s="599"/>
      <c r="D36" s="96">
        <f>+D35</f>
        <v>5.5518898122404042E-2</v>
      </c>
      <c r="E36" s="96">
        <f t="shared" ref="E36:AF36" si="43">+E35-D35</f>
        <v>3.8482830713276045E-3</v>
      </c>
      <c r="F36" s="96">
        <f t="shared" si="43"/>
        <v>5.5095426162634353E-3</v>
      </c>
      <c r="G36" s="599">
        <f t="shared" si="43"/>
        <v>3.7133627554981063E-3</v>
      </c>
      <c r="H36" s="96">
        <f t="shared" si="43"/>
        <v>3.1828823618555158E-3</v>
      </c>
      <c r="I36" s="96">
        <f t="shared" si="43"/>
        <v>1.4843554288223731E-3</v>
      </c>
      <c r="J36" s="96">
        <f t="shared" si="43"/>
        <v>4.0594391644682426E-3</v>
      </c>
      <c r="K36" s="96">
        <f t="shared" si="43"/>
        <v>9.8333328178785984E-4</v>
      </c>
      <c r="L36" s="96">
        <f t="shared" si="43"/>
        <v>7.043768305091555E-3</v>
      </c>
      <c r="M36" s="96">
        <f t="shared" si="43"/>
        <v>-1.8633694048660887E-3</v>
      </c>
      <c r="N36" s="96">
        <f t="shared" si="43"/>
        <v>3.6494205771651633E-3</v>
      </c>
      <c r="O36" s="96">
        <f t="shared" si="43"/>
        <v>4.5308484284296013E-3</v>
      </c>
      <c r="P36" s="96">
        <f t="shared" si="43"/>
        <v>2.7498229412474262E-3</v>
      </c>
      <c r="Q36" s="96">
        <f t="shared" si="43"/>
        <v>2.8323176294848401E-3</v>
      </c>
      <c r="R36" s="96">
        <f t="shared" si="43"/>
        <v>2.9172871583693916E-3</v>
      </c>
      <c r="S36" s="96">
        <f t="shared" si="43"/>
        <v>3.0048057731204697E-3</v>
      </c>
      <c r="T36" s="96">
        <f t="shared" si="43"/>
        <v>2889360667.9353848</v>
      </c>
      <c r="U36" s="96">
        <f t="shared" si="43"/>
        <v>175933319.50001001</v>
      </c>
      <c r="V36" s="96">
        <f t="shared" si="43"/>
        <v>186646738.81168747</v>
      </c>
      <c r="W36" s="96">
        <f t="shared" si="43"/>
        <v>198012575.92437887</v>
      </c>
      <c r="X36" s="96">
        <f t="shared" si="43"/>
        <v>210070562.1402421</v>
      </c>
      <c r="Y36" s="96">
        <f t="shared" si="43"/>
        <v>222862848.3675971</v>
      </c>
      <c r="Z36" s="96">
        <f t="shared" si="43"/>
        <v>236434152.47397566</v>
      </c>
      <c r="AA36" s="96">
        <f t="shared" si="43"/>
        <v>250831915.61293602</v>
      </c>
      <c r="AB36" s="96">
        <f t="shared" si="43"/>
        <v>266106468.07116795</v>
      </c>
      <c r="AC36" s="96">
        <f t="shared" si="43"/>
        <v>282311205.21562004</v>
      </c>
      <c r="AD36" s="96">
        <f t="shared" si="43"/>
        <v>299502774.15581703</v>
      </c>
      <c r="AE36" s="96">
        <f t="shared" si="43"/>
        <v>317741271.77383232</v>
      </c>
      <c r="AF36" s="96">
        <f t="shared" si="43"/>
        <v>337090454.81428719</v>
      </c>
    </row>
    <row r="40" spans="1:46" x14ac:dyDescent="0.25">
      <c r="B40" s="605">
        <v>1999</v>
      </c>
      <c r="C40" s="596">
        <v>2000</v>
      </c>
      <c r="D40" s="106">
        <v>2001</v>
      </c>
      <c r="E40" s="106">
        <v>2002</v>
      </c>
      <c r="F40" s="106">
        <v>2003</v>
      </c>
      <c r="G40" s="596">
        <v>2004</v>
      </c>
      <c r="H40" s="106">
        <v>2005</v>
      </c>
      <c r="I40" s="106">
        <v>2006</v>
      </c>
      <c r="J40" s="106">
        <v>2007</v>
      </c>
      <c r="K40" s="106">
        <v>2008</v>
      </c>
      <c r="L40" s="106">
        <v>2009</v>
      </c>
      <c r="M40" s="106">
        <v>2010</v>
      </c>
      <c r="N40" s="106">
        <v>2011</v>
      </c>
      <c r="O40" s="106">
        <v>2012</v>
      </c>
      <c r="P40" s="106">
        <v>2013</v>
      </c>
      <c r="Q40" s="106">
        <v>2014</v>
      </c>
      <c r="R40" s="106">
        <v>2015</v>
      </c>
      <c r="S40" s="106">
        <v>2016</v>
      </c>
      <c r="T40" s="106">
        <v>2017</v>
      </c>
      <c r="U40" s="106">
        <v>2018</v>
      </c>
      <c r="V40" s="106">
        <v>2019</v>
      </c>
      <c r="W40" s="106">
        <v>2020</v>
      </c>
      <c r="X40" s="106">
        <v>2021</v>
      </c>
      <c r="Y40" s="106">
        <v>2022</v>
      </c>
      <c r="Z40" s="106">
        <v>2023</v>
      </c>
      <c r="AA40" s="106">
        <v>2024</v>
      </c>
      <c r="AB40" s="106">
        <v>2025</v>
      </c>
      <c r="AC40" s="106">
        <v>2026</v>
      </c>
      <c r="AD40" s="106">
        <v>2027</v>
      </c>
      <c r="AE40" s="106">
        <v>2028</v>
      </c>
      <c r="AF40" s="106">
        <v>2029</v>
      </c>
      <c r="AG40" s="106">
        <v>2030</v>
      </c>
      <c r="AH40" s="106">
        <v>2031</v>
      </c>
      <c r="AI40" s="106">
        <v>2032</v>
      </c>
      <c r="AJ40" s="106">
        <v>2033</v>
      </c>
      <c r="AK40" s="106">
        <v>2034</v>
      </c>
      <c r="AL40" s="106">
        <v>2035</v>
      </c>
      <c r="AM40" s="106">
        <v>2036</v>
      </c>
      <c r="AN40" s="106">
        <v>2037</v>
      </c>
      <c r="AO40" s="106">
        <v>2038</v>
      </c>
      <c r="AP40" s="106">
        <v>2039</v>
      </c>
      <c r="AQ40" s="106">
        <v>2040</v>
      </c>
      <c r="AR40" s="106">
        <v>2041</v>
      </c>
      <c r="AS40" s="106">
        <v>2042</v>
      </c>
    </row>
    <row r="41" spans="1:46" x14ac:dyDescent="0.25">
      <c r="A41" s="453" t="s">
        <v>434</v>
      </c>
      <c r="B41" s="600">
        <f>B30+B11</f>
        <v>0</v>
      </c>
      <c r="C41" s="600">
        <f>C11</f>
        <v>1430584778.5821891</v>
      </c>
      <c r="D41" s="234">
        <f>D11</f>
        <v>1430584778.5821891</v>
      </c>
      <c r="E41" s="234">
        <f>D41</f>
        <v>1430584778.5821891</v>
      </c>
      <c r="F41" s="234">
        <f t="shared" ref="F41:O41" si="44">E41</f>
        <v>1430584778.5821891</v>
      </c>
      <c r="G41" s="600">
        <f t="shared" si="44"/>
        <v>1430584778.5821891</v>
      </c>
      <c r="H41" s="234">
        <f t="shared" si="44"/>
        <v>1430584778.5821891</v>
      </c>
      <c r="I41" s="234">
        <f t="shared" si="44"/>
        <v>1430584778.5821891</v>
      </c>
      <c r="J41" s="234">
        <f t="shared" si="44"/>
        <v>1430584778.5821891</v>
      </c>
      <c r="K41" s="234">
        <f t="shared" si="44"/>
        <v>1430584778.5821891</v>
      </c>
      <c r="L41" s="234">
        <f t="shared" si="44"/>
        <v>1430584778.5821891</v>
      </c>
      <c r="M41" s="234">
        <f t="shared" si="44"/>
        <v>1430584778.5821891</v>
      </c>
      <c r="N41" s="234">
        <f t="shared" si="44"/>
        <v>1430584778.5821891</v>
      </c>
      <c r="O41" s="234">
        <f t="shared" si="44"/>
        <v>1430584778.5821891</v>
      </c>
      <c r="P41" s="234">
        <f>+C30+P11</f>
        <v>2570584778.5821891</v>
      </c>
      <c r="Q41" s="234">
        <f t="shared" ref="Q41:AS41" si="45">+D30+Q11</f>
        <v>2570584778.5821891</v>
      </c>
      <c r="R41" s="234">
        <f t="shared" si="45"/>
        <v>2000037891.4169879</v>
      </c>
      <c r="S41" s="234">
        <f t="shared" si="45"/>
        <v>2008269010.6991372</v>
      </c>
      <c r="T41" s="234">
        <f t="shared" si="45"/>
        <v>2016243789.0917706</v>
      </c>
      <c r="U41" s="234">
        <f t="shared" si="45"/>
        <v>2023351725.3701687</v>
      </c>
      <c r="V41" s="234">
        <f t="shared" si="45"/>
        <v>2029499121.840384</v>
      </c>
      <c r="W41" s="234">
        <f t="shared" si="45"/>
        <v>2034585327.100903</v>
      </c>
      <c r="X41" s="234">
        <f t="shared" si="45"/>
        <v>2038502273.8934832</v>
      </c>
      <c r="Y41" s="234">
        <f t="shared" si="45"/>
        <v>2041133987.572989</v>
      </c>
      <c r="Z41" s="234">
        <f t="shared" si="45"/>
        <v>2041971723.3985305</v>
      </c>
      <c r="AA41" s="234">
        <f t="shared" si="45"/>
        <v>2041639240.3028045</v>
      </c>
      <c r="AB41" s="234">
        <f t="shared" si="45"/>
        <v>2001744514.0782547</v>
      </c>
      <c r="AC41" s="234">
        <f t="shared" si="45"/>
        <v>1985304139.4257138</v>
      </c>
      <c r="AD41" s="234">
        <f t="shared" si="45"/>
        <v>1976958379.0364242</v>
      </c>
      <c r="AE41" s="234">
        <f t="shared" si="45"/>
        <v>1920776986.727778</v>
      </c>
      <c r="AF41" s="234">
        <f t="shared" si="45"/>
        <v>1907336151.8681653</v>
      </c>
      <c r="AG41" s="234">
        <f t="shared" si="45"/>
        <v>1891236006.3217239</v>
      </c>
      <c r="AH41" s="234">
        <f t="shared" si="45"/>
        <v>1140000000</v>
      </c>
      <c r="AI41" s="234">
        <f t="shared" si="45"/>
        <v>1140000000</v>
      </c>
      <c r="AJ41" s="234">
        <f t="shared" si="45"/>
        <v>1140000000</v>
      </c>
      <c r="AK41" s="234">
        <f t="shared" si="45"/>
        <v>1140000000</v>
      </c>
      <c r="AL41" s="234">
        <f t="shared" si="45"/>
        <v>1140000000</v>
      </c>
      <c r="AM41" s="234">
        <f t="shared" si="45"/>
        <v>1140000000</v>
      </c>
      <c r="AN41" s="234">
        <f t="shared" si="45"/>
        <v>1140000000</v>
      </c>
      <c r="AO41" s="234">
        <f t="shared" si="45"/>
        <v>1140000000</v>
      </c>
      <c r="AP41" s="234">
        <f t="shared" si="45"/>
        <v>1140000000</v>
      </c>
      <c r="AQ41" s="234">
        <f t="shared" si="45"/>
        <v>1140000000</v>
      </c>
      <c r="AR41" s="234">
        <f t="shared" si="45"/>
        <v>1140000000</v>
      </c>
      <c r="AS41" s="234">
        <f t="shared" si="45"/>
        <v>1140000000</v>
      </c>
      <c r="AT41" s="234"/>
    </row>
    <row r="46" spans="1:46" x14ac:dyDescent="0.25">
      <c r="B46" s="453">
        <v>1</v>
      </c>
      <c r="C46" s="453">
        <v>2</v>
      </c>
      <c r="D46">
        <v>3</v>
      </c>
      <c r="E46">
        <v>4</v>
      </c>
      <c r="F46">
        <v>5</v>
      </c>
      <c r="G46" s="453">
        <v>6</v>
      </c>
      <c r="H46">
        <v>7</v>
      </c>
      <c r="I46">
        <v>8</v>
      </c>
      <c r="J46">
        <v>9</v>
      </c>
      <c r="K46">
        <v>10</v>
      </c>
      <c r="L46">
        <v>11</v>
      </c>
      <c r="M46">
        <v>12</v>
      </c>
      <c r="N46">
        <v>13</v>
      </c>
      <c r="O46">
        <v>14</v>
      </c>
      <c r="P46">
        <v>15</v>
      </c>
      <c r="Q46">
        <v>16</v>
      </c>
      <c r="R46">
        <v>17</v>
      </c>
      <c r="S46">
        <v>18</v>
      </c>
      <c r="T46">
        <v>19</v>
      </c>
      <c r="U46">
        <v>20</v>
      </c>
      <c r="V46">
        <v>21</v>
      </c>
      <c r="W46">
        <v>22</v>
      </c>
      <c r="X46">
        <v>23</v>
      </c>
      <c r="Y46">
        <v>24</v>
      </c>
      <c r="Z46">
        <v>25</v>
      </c>
      <c r="AA46">
        <v>26</v>
      </c>
      <c r="AB46">
        <v>27</v>
      </c>
      <c r="AC46">
        <v>28</v>
      </c>
      <c r="AD46">
        <v>29</v>
      </c>
      <c r="AE46">
        <v>30</v>
      </c>
      <c r="AF46" s="23"/>
    </row>
    <row r="47" spans="1:46" x14ac:dyDescent="0.25">
      <c r="B47" s="609">
        <f>D24</f>
        <v>34200000000</v>
      </c>
      <c r="C47" s="601">
        <f>$B$47/C46</f>
        <v>17100000000</v>
      </c>
      <c r="D47" s="416">
        <f t="shared" ref="D47:AE47" si="46">$B$47/D46</f>
        <v>11400000000</v>
      </c>
      <c r="E47" s="416">
        <f t="shared" si="46"/>
        <v>8550000000</v>
      </c>
      <c r="F47" s="416">
        <f t="shared" si="46"/>
        <v>6840000000</v>
      </c>
      <c r="G47" s="601">
        <f t="shared" si="46"/>
        <v>5700000000</v>
      </c>
      <c r="H47" s="416">
        <f t="shared" si="46"/>
        <v>4885714285.7142859</v>
      </c>
      <c r="I47" s="416">
        <f t="shared" si="46"/>
        <v>4275000000</v>
      </c>
      <c r="J47" s="416">
        <f t="shared" si="46"/>
        <v>3800000000</v>
      </c>
      <c r="K47" s="416">
        <f t="shared" si="46"/>
        <v>3420000000</v>
      </c>
      <c r="L47" s="416">
        <f t="shared" si="46"/>
        <v>3109090909.090909</v>
      </c>
      <c r="M47" s="416">
        <f t="shared" si="46"/>
        <v>2850000000</v>
      </c>
      <c r="N47" s="416">
        <f t="shared" si="46"/>
        <v>2630769230.7692308</v>
      </c>
      <c r="O47" s="416">
        <f t="shared" si="46"/>
        <v>2442857142.8571429</v>
      </c>
      <c r="P47" s="416">
        <f t="shared" si="46"/>
        <v>2280000000</v>
      </c>
      <c r="Q47" s="416">
        <f t="shared" si="46"/>
        <v>2137500000</v>
      </c>
      <c r="R47" s="416">
        <f t="shared" si="46"/>
        <v>2011764705.8823528</v>
      </c>
      <c r="S47" s="416">
        <f t="shared" si="46"/>
        <v>1900000000</v>
      </c>
      <c r="T47" s="416">
        <f t="shared" si="46"/>
        <v>1800000000</v>
      </c>
      <c r="U47" s="416">
        <f t="shared" si="46"/>
        <v>1710000000</v>
      </c>
      <c r="V47" s="416">
        <f t="shared" si="46"/>
        <v>1628571428.5714285</v>
      </c>
      <c r="W47" s="416">
        <f t="shared" si="46"/>
        <v>1554545454.5454545</v>
      </c>
      <c r="X47" s="416">
        <f t="shared" si="46"/>
        <v>1486956521.7391305</v>
      </c>
      <c r="Y47" s="416">
        <f t="shared" si="46"/>
        <v>1425000000</v>
      </c>
      <c r="Z47" s="416">
        <f t="shared" si="46"/>
        <v>1368000000</v>
      </c>
      <c r="AA47" s="416">
        <f t="shared" si="46"/>
        <v>1315384615.3846154</v>
      </c>
      <c r="AB47" s="416">
        <f t="shared" si="46"/>
        <v>1266666666.6666667</v>
      </c>
      <c r="AC47" s="416">
        <f t="shared" si="46"/>
        <v>1221428571.4285715</v>
      </c>
      <c r="AD47" s="416">
        <f t="shared" si="46"/>
        <v>1179310344.8275862</v>
      </c>
      <c r="AE47" s="416">
        <f t="shared" si="46"/>
        <v>1140000000</v>
      </c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</row>
  </sheetData>
  <pageMargins left="0.7" right="0.7" top="0.75" bottom="0.75" header="0.3" footer="0.3"/>
  <pageSetup scale="64" fitToWidth="6" orientation="landscape" r:id="rId1"/>
  <headerFooter>
    <oddHeader>&amp;C&amp;F-&amp;A-&amp;P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B92"/>
  <sheetViews>
    <sheetView view="pageBreakPreview" zoomScale="110" zoomScaleNormal="100" zoomScaleSheetLayoutView="110" workbookViewId="0">
      <pane ySplit="1" topLeftCell="A80" activePane="bottomLeft" state="frozen"/>
      <selection activeCell="M1" sqref="M1"/>
      <selection pane="bottomLeft" activeCell="A92" sqref="A92:XFD92"/>
    </sheetView>
  </sheetViews>
  <sheetFormatPr baseColWidth="10" defaultRowHeight="15" x14ac:dyDescent="0.25"/>
  <cols>
    <col min="1" max="1" width="41.42578125" style="453" customWidth="1"/>
    <col min="2" max="2" width="40.85546875" style="453" customWidth="1"/>
    <col min="3" max="5" width="19.42578125" customWidth="1"/>
    <col min="6" max="7" width="21.28515625" bestFit="1" customWidth="1"/>
    <col min="8" max="8" width="19.42578125" customWidth="1"/>
    <col min="9" max="10" width="20.42578125" bestFit="1" customWidth="1"/>
    <col min="11" max="11" width="20.28515625" bestFit="1" customWidth="1"/>
    <col min="12" max="14" width="19.42578125" customWidth="1"/>
    <col min="15" max="23" width="21.42578125" bestFit="1" customWidth="1"/>
    <col min="24" max="32" width="19.42578125" bestFit="1" customWidth="1"/>
    <col min="33" max="54" width="16.28515625" bestFit="1" customWidth="1"/>
  </cols>
  <sheetData>
    <row r="1" spans="1:54" x14ac:dyDescent="0.25">
      <c r="C1" s="176">
        <v>1999</v>
      </c>
      <c r="D1" s="177">
        <v>2000</v>
      </c>
      <c r="E1" s="177">
        <v>2001</v>
      </c>
      <c r="F1" s="177">
        <v>2002</v>
      </c>
      <c r="G1" s="177">
        <v>2003</v>
      </c>
      <c r="H1" s="177">
        <v>2004</v>
      </c>
      <c r="I1" s="177">
        <v>2005</v>
      </c>
      <c r="J1" s="177">
        <v>2006</v>
      </c>
      <c r="K1" s="177">
        <v>2007</v>
      </c>
      <c r="L1" s="177">
        <v>2008</v>
      </c>
      <c r="M1" s="177">
        <v>2009</v>
      </c>
      <c r="N1" s="177">
        <v>2010</v>
      </c>
      <c r="O1" s="177">
        <v>2011</v>
      </c>
      <c r="P1" s="177">
        <v>2012</v>
      </c>
      <c r="Q1" s="177">
        <v>2013</v>
      </c>
      <c r="R1" s="177">
        <v>2014</v>
      </c>
      <c r="S1" s="177">
        <v>2015</v>
      </c>
      <c r="T1" s="177">
        <v>2016</v>
      </c>
      <c r="U1" s="177">
        <v>2017</v>
      </c>
      <c r="V1" s="177">
        <v>2018</v>
      </c>
      <c r="W1" s="177">
        <v>2019</v>
      </c>
      <c r="X1" s="177">
        <v>2020</v>
      </c>
      <c r="Y1" s="177">
        <v>2021</v>
      </c>
      <c r="Z1" s="177">
        <v>2022</v>
      </c>
      <c r="AA1" s="177">
        <v>2023</v>
      </c>
      <c r="AB1" s="177">
        <v>2024</v>
      </c>
      <c r="AC1" s="177">
        <v>2025</v>
      </c>
      <c r="AD1" s="177">
        <v>2026</v>
      </c>
      <c r="AE1" s="177">
        <v>2027</v>
      </c>
      <c r="AF1" s="177">
        <v>2028</v>
      </c>
      <c r="AG1" s="178">
        <v>2029</v>
      </c>
      <c r="AH1" s="177">
        <v>2030</v>
      </c>
      <c r="AI1" s="178">
        <v>2031</v>
      </c>
      <c r="AJ1" s="177">
        <v>2032</v>
      </c>
      <c r="AK1" s="178">
        <v>2033</v>
      </c>
      <c r="AL1" s="177">
        <v>2034</v>
      </c>
      <c r="AM1" s="178">
        <v>2035</v>
      </c>
      <c r="AN1" s="177">
        <v>2036</v>
      </c>
      <c r="AO1" s="178">
        <v>2037</v>
      </c>
      <c r="AP1" s="177">
        <v>2038</v>
      </c>
      <c r="AQ1" s="178">
        <v>2039</v>
      </c>
      <c r="AR1" s="177">
        <v>2040</v>
      </c>
      <c r="AS1" s="178">
        <v>2041</v>
      </c>
      <c r="AT1" s="177">
        <v>2042</v>
      </c>
      <c r="AU1" s="178">
        <v>2043</v>
      </c>
      <c r="AV1" s="177">
        <v>2044</v>
      </c>
      <c r="AW1" s="178">
        <v>2045</v>
      </c>
      <c r="AX1" s="177">
        <v>2046</v>
      </c>
      <c r="AY1" s="178">
        <v>2047</v>
      </c>
      <c r="AZ1" s="177">
        <v>2048</v>
      </c>
      <c r="BA1" s="178">
        <v>2049</v>
      </c>
      <c r="BB1" s="177">
        <v>2050</v>
      </c>
    </row>
    <row r="2" spans="1:54" ht="15.75" thickBot="1" x14ac:dyDescent="0.3">
      <c r="C2" s="179">
        <v>0</v>
      </c>
      <c r="D2" s="180">
        <v>1</v>
      </c>
      <c r="E2" s="180">
        <v>2</v>
      </c>
      <c r="F2" s="180">
        <v>3</v>
      </c>
      <c r="G2" s="180">
        <v>4</v>
      </c>
      <c r="H2" s="180">
        <v>5</v>
      </c>
      <c r="I2" s="180">
        <v>6</v>
      </c>
      <c r="J2" s="180">
        <v>7</v>
      </c>
      <c r="K2" s="180">
        <v>8</v>
      </c>
      <c r="L2" s="180">
        <v>9</v>
      </c>
      <c r="M2" s="180">
        <v>10</v>
      </c>
      <c r="N2" s="180">
        <v>11</v>
      </c>
      <c r="O2" s="180">
        <v>12</v>
      </c>
      <c r="P2" s="180">
        <v>13</v>
      </c>
      <c r="Q2" s="180">
        <v>14</v>
      </c>
      <c r="R2" s="180">
        <v>15</v>
      </c>
      <c r="S2" s="180">
        <v>16</v>
      </c>
      <c r="T2" s="180">
        <v>17</v>
      </c>
      <c r="U2" s="180">
        <v>18</v>
      </c>
      <c r="V2" s="180">
        <v>19</v>
      </c>
      <c r="W2" s="180">
        <v>20</v>
      </c>
      <c r="X2" s="180">
        <v>21</v>
      </c>
      <c r="Y2" s="180">
        <v>22</v>
      </c>
      <c r="Z2" s="180">
        <v>23</v>
      </c>
      <c r="AA2" s="180">
        <v>24</v>
      </c>
      <c r="AB2" s="180">
        <v>25</v>
      </c>
      <c r="AC2" s="180">
        <v>26</v>
      </c>
      <c r="AD2" s="180">
        <v>27</v>
      </c>
      <c r="AE2" s="180">
        <v>28</v>
      </c>
      <c r="AF2" s="180">
        <v>29</v>
      </c>
      <c r="AG2" s="181">
        <v>30</v>
      </c>
      <c r="AH2" s="180">
        <v>31</v>
      </c>
      <c r="AI2" s="181">
        <v>32</v>
      </c>
      <c r="AJ2" s="180">
        <v>33</v>
      </c>
      <c r="AK2" s="181">
        <v>34</v>
      </c>
      <c r="AL2" s="180">
        <v>35</v>
      </c>
      <c r="AM2" s="181">
        <v>36</v>
      </c>
      <c r="AN2" s="180">
        <v>37</v>
      </c>
      <c r="AO2" s="181">
        <v>38</v>
      </c>
      <c r="AP2" s="180">
        <v>39</v>
      </c>
      <c r="AQ2" s="181">
        <v>40</v>
      </c>
      <c r="AR2" s="180">
        <v>41</v>
      </c>
      <c r="AS2" s="181">
        <v>42</v>
      </c>
      <c r="AT2" s="180">
        <v>43</v>
      </c>
      <c r="AU2" s="181">
        <v>44</v>
      </c>
      <c r="AV2" s="180">
        <v>45</v>
      </c>
      <c r="AW2" s="181">
        <v>46</v>
      </c>
      <c r="AX2" s="180">
        <v>47</v>
      </c>
      <c r="AY2" s="181">
        <v>48</v>
      </c>
      <c r="AZ2" s="180">
        <v>49</v>
      </c>
      <c r="BA2" s="181">
        <v>50</v>
      </c>
      <c r="BB2" s="180">
        <v>51</v>
      </c>
    </row>
    <row r="3" spans="1:54" x14ac:dyDescent="0.25">
      <c r="A3" s="454" t="s">
        <v>28</v>
      </c>
      <c r="B3" s="455"/>
      <c r="C3" s="162"/>
      <c r="D3" s="111"/>
      <c r="E3" s="112" t="s">
        <v>1</v>
      </c>
      <c r="F3" s="111"/>
      <c r="G3" s="111"/>
      <c r="H3" s="111"/>
      <c r="I3" s="111"/>
      <c r="J3" s="113"/>
      <c r="K3" s="114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</row>
    <row r="4" spans="1:54" x14ac:dyDescent="0.25">
      <c r="A4" s="456" t="s">
        <v>199</v>
      </c>
      <c r="B4" s="457"/>
      <c r="C4" s="31">
        <f t="shared" ref="C4:O4" si="0">D4/(1+C29)</f>
        <v>94799549.842246488</v>
      </c>
      <c r="D4" s="31">
        <f t="shared" si="0"/>
        <v>103551159.88503316</v>
      </c>
      <c r="E4" s="31">
        <f t="shared" si="0"/>
        <v>112612385.25760461</v>
      </c>
      <c r="F4" s="31">
        <f t="shared" si="0"/>
        <v>121220558.84150247</v>
      </c>
      <c r="G4" s="31">
        <f t="shared" si="0"/>
        <v>129695264.1391774</v>
      </c>
      <c r="H4" s="31">
        <f t="shared" si="0"/>
        <v>138113464.16516888</v>
      </c>
      <c r="I4" s="31">
        <f t="shared" si="0"/>
        <v>145706908.1075328</v>
      </c>
      <c r="J4" s="31">
        <f t="shared" si="0"/>
        <v>152778954.52576441</v>
      </c>
      <c r="K4" s="31">
        <f t="shared" si="0"/>
        <v>159623797.70687562</v>
      </c>
      <c r="L4" s="31">
        <f t="shared" si="0"/>
        <v>168714758.85424608</v>
      </c>
      <c r="M4" s="31">
        <f t="shared" si="0"/>
        <v>181654897.40771273</v>
      </c>
      <c r="N4" s="31">
        <f t="shared" si="0"/>
        <v>185287995.355867</v>
      </c>
      <c r="O4" s="31">
        <f t="shared" si="0"/>
        <v>191173614.03187689</v>
      </c>
      <c r="P4" s="31">
        <f>D45</f>
        <v>198312651.5</v>
      </c>
      <c r="Q4" s="31">
        <f t="shared" ref="Q4:BB4" si="1">P4*(1+P29)</f>
        <v>204658656.34800002</v>
      </c>
      <c r="R4" s="31">
        <f t="shared" si="1"/>
        <v>211207733.35113603</v>
      </c>
      <c r="S4" s="31">
        <f t="shared" si="1"/>
        <v>217966380.8183724</v>
      </c>
      <c r="T4" s="31">
        <f t="shared" si="1"/>
        <v>224941305.00456032</v>
      </c>
      <c r="U4" s="31">
        <f t="shared" si="1"/>
        <v>232139426.76470625</v>
      </c>
      <c r="V4" s="31">
        <f t="shared" si="1"/>
        <v>239567888.42117685</v>
      </c>
      <c r="W4" s="31">
        <f t="shared" si="1"/>
        <v>247234060.85065451</v>
      </c>
      <c r="X4" s="31">
        <f t="shared" si="1"/>
        <v>255145550.79787546</v>
      </c>
      <c r="Y4" s="31">
        <f t="shared" si="1"/>
        <v>263310208.4234075</v>
      </c>
      <c r="Z4" s="31">
        <f t="shared" si="1"/>
        <v>271736135.09295654</v>
      </c>
      <c r="AA4" s="31">
        <f t="shared" si="1"/>
        <v>280431691.41593117</v>
      </c>
      <c r="AB4" s="31">
        <f t="shared" si="1"/>
        <v>289405505.54124099</v>
      </c>
      <c r="AC4" s="31">
        <f t="shared" si="1"/>
        <v>298666481.7185607</v>
      </c>
      <c r="AD4" s="31">
        <f t="shared" si="1"/>
        <v>308223809.13355464</v>
      </c>
      <c r="AE4" s="31">
        <f t="shared" si="1"/>
        <v>318086971.02582842</v>
      </c>
      <c r="AF4" s="31">
        <f t="shared" si="1"/>
        <v>328265754.09865493</v>
      </c>
      <c r="AG4" s="172">
        <f t="shared" si="1"/>
        <v>338770258.22981191</v>
      </c>
      <c r="AH4" s="172">
        <f t="shared" si="1"/>
        <v>349610906.49316591</v>
      </c>
      <c r="AI4" s="172">
        <f t="shared" si="1"/>
        <v>360798455.50094724</v>
      </c>
      <c r="AJ4" s="172">
        <f t="shared" si="1"/>
        <v>372344006.07697755</v>
      </c>
      <c r="AK4" s="172">
        <f t="shared" si="1"/>
        <v>384259014.27144086</v>
      </c>
      <c r="AL4" s="172">
        <f t="shared" si="1"/>
        <v>396555302.728127</v>
      </c>
      <c r="AM4" s="172">
        <f t="shared" si="1"/>
        <v>409245072.41542709</v>
      </c>
      <c r="AN4" s="172">
        <f t="shared" si="1"/>
        <v>422340914.73272079</v>
      </c>
      <c r="AO4" s="172">
        <f t="shared" si="1"/>
        <v>435855824.00416785</v>
      </c>
      <c r="AP4" s="172">
        <f t="shared" si="1"/>
        <v>449803210.37230122</v>
      </c>
      <c r="AQ4" s="172">
        <f t="shared" si="1"/>
        <v>464196913.10421485</v>
      </c>
      <c r="AR4" s="172">
        <f t="shared" si="1"/>
        <v>479051214.32354975</v>
      </c>
      <c r="AS4" s="172">
        <f t="shared" si="1"/>
        <v>494380853.18190336</v>
      </c>
      <c r="AT4" s="172">
        <f t="shared" si="1"/>
        <v>510201040.4837243</v>
      </c>
      <c r="AU4" s="172">
        <f t="shared" si="1"/>
        <v>526527473.77920347</v>
      </c>
      <c r="AV4" s="172">
        <f t="shared" si="1"/>
        <v>543376352.94013798</v>
      </c>
      <c r="AW4" s="172">
        <f t="shared" si="1"/>
        <v>560764396.23422241</v>
      </c>
      <c r="AX4" s="172">
        <f t="shared" si="1"/>
        <v>578708856.91371751</v>
      </c>
      <c r="AY4" s="172">
        <f t="shared" si="1"/>
        <v>597227540.33495653</v>
      </c>
      <c r="AZ4" s="172">
        <f t="shared" si="1"/>
        <v>616338821.6256752</v>
      </c>
      <c r="BA4" s="172">
        <f t="shared" si="1"/>
        <v>636061663.91769683</v>
      </c>
      <c r="BB4" s="172">
        <f t="shared" si="1"/>
        <v>656415637.16306317</v>
      </c>
    </row>
    <row r="5" spans="1:54" x14ac:dyDescent="0.25">
      <c r="A5" s="458" t="s">
        <v>705</v>
      </c>
      <c r="B5" s="459"/>
      <c r="C5" s="164">
        <f>VRN!I25</f>
        <v>70762018612.858673</v>
      </c>
      <c r="D5" s="164">
        <f>VRN!J25</f>
        <v>93265013570.190079</v>
      </c>
      <c r="E5" s="164">
        <f>VRN!K25</f>
        <v>109875006185.34476</v>
      </c>
      <c r="F5" s="164">
        <f>VRN!L25</f>
        <v>130941585547.94403</v>
      </c>
      <c r="G5" s="164">
        <f>VRN!M25</f>
        <v>158834471633.8743</v>
      </c>
      <c r="H5" s="164">
        <f>VRN!N25</f>
        <v>151691098095.44193</v>
      </c>
      <c r="I5" s="164">
        <f>VRN!O25</f>
        <v>136820519065.98146</v>
      </c>
      <c r="J5" s="164">
        <f>VRN!P25</f>
        <v>146717481259.91583</v>
      </c>
      <c r="K5" s="164">
        <f>VRN!Q25</f>
        <v>130963135449.42683</v>
      </c>
      <c r="L5" s="164">
        <f>VRN!R25</f>
        <v>135045877557.18509</v>
      </c>
      <c r="M5" s="164">
        <f>VRN!S25</f>
        <v>144863931495.06369</v>
      </c>
      <c r="N5" s="164">
        <f>VRN!T25</f>
        <v>133078045446.06732</v>
      </c>
      <c r="O5" s="108">
        <f>VRN!H16</f>
        <v>120091837654.04872</v>
      </c>
      <c r="P5" s="108">
        <f>VRN!I16</f>
        <v>127405430567.18028</v>
      </c>
      <c r="Q5" s="108">
        <f>VRN!J16</f>
        <v>135164421288.72156</v>
      </c>
      <c r="R5" s="108">
        <f>VRN!K16</f>
        <v>143395934545.20468</v>
      </c>
      <c r="S5" s="108">
        <f>VRN!L16</f>
        <v>152128746959.00763</v>
      </c>
      <c r="T5" s="108">
        <f>VRN!M16</f>
        <v>161393387648.81119</v>
      </c>
      <c r="U5" s="108">
        <f>VRN!N16</f>
        <v>171222244956.62378</v>
      </c>
      <c r="V5" s="108">
        <f>VRN!O16</f>
        <v>181649679674.48215</v>
      </c>
      <c r="W5" s="108">
        <f>VRN!P16</f>
        <v>192712145166.65811</v>
      </c>
      <c r="X5" s="108">
        <f>VRN!Q16</f>
        <v>204448314807.30759</v>
      </c>
      <c r="Y5" s="108">
        <f>VRN!R16</f>
        <v>216899217179.0726</v>
      </c>
      <c r="Z5" s="108">
        <f>VRN!S16</f>
        <v>230108379505.27811</v>
      </c>
      <c r="AA5" s="108">
        <f>VRN!T16</f>
        <v>244121979817.14954</v>
      </c>
      <c r="AB5" s="108">
        <f>VRN!U16</f>
        <v>258989008388.01395</v>
      </c>
      <c r="AC5" s="108">
        <f>VRN!V16</f>
        <v>274761438998.84399</v>
      </c>
      <c r="AD5" s="108">
        <f>VRN!W16</f>
        <v>291494410633.8736</v>
      </c>
      <c r="AE5" s="108">
        <f>VRN!X16</f>
        <v>309246420241.4765</v>
      </c>
      <c r="AF5" s="108">
        <f>VRN!Y16</f>
        <v>328079527234.18243</v>
      </c>
      <c r="AG5" s="108">
        <f>VRN!Z16</f>
        <v>348059570442.74414</v>
      </c>
      <c r="AH5" s="108">
        <f>VRN!AA16</f>
        <v>369256398282.70721</v>
      </c>
      <c r="AI5" s="108">
        <f>VRN!AB16</f>
        <v>391744112938.12408</v>
      </c>
      <c r="AJ5" s="108">
        <f>VRN!AC16</f>
        <v>415601329416.05585</v>
      </c>
      <c r="AK5" s="108">
        <f>VRN!AD16</f>
        <v>440911450377.49365</v>
      </c>
      <c r="AL5" s="108">
        <f>VRN!AE16</f>
        <v>467762957705.48297</v>
      </c>
      <c r="AM5" s="108">
        <f>VRN!AF16</f>
        <v>496249721829.74689</v>
      </c>
      <c r="AN5" s="108">
        <f>VRN!AG16</f>
        <v>526471329889.17847</v>
      </c>
      <c r="AO5" s="108">
        <f>VRN!AH16</f>
        <v>558533433879.42944</v>
      </c>
      <c r="AP5" s="108">
        <f>VRN!AI16</f>
        <v>592548120002.68665</v>
      </c>
      <c r="AQ5" s="108">
        <f>VRN!AJ16</f>
        <v>628634300510.85022</v>
      </c>
      <c r="AR5" s="108">
        <f>VRN!AK16</f>
        <v>666918129411.96094</v>
      </c>
      <c r="AS5" s="108">
        <f>VRN!AL16</f>
        <v>707533443493.14929</v>
      </c>
      <c r="AT5" s="108">
        <f>VRN!AM16</f>
        <v>750622230201.88208</v>
      </c>
      <c r="AU5" s="108">
        <f>VRN!AN16</f>
        <v>796335124021.17664</v>
      </c>
      <c r="AV5" s="108">
        <f>VRN!AO16</f>
        <v>844831933074.06628</v>
      </c>
      <c r="AW5" s="108">
        <f>VRN!AP16</f>
        <v>896282197798.27686</v>
      </c>
      <c r="AX5" s="108">
        <f>VRN!AQ16</f>
        <v>0</v>
      </c>
      <c r="AY5" s="108">
        <f>VRN!AR16</f>
        <v>0</v>
      </c>
      <c r="AZ5" s="108">
        <f>VRN!AS16</f>
        <v>0</v>
      </c>
      <c r="BA5" s="108">
        <f>VRN!AT16</f>
        <v>0</v>
      </c>
      <c r="BB5" s="108">
        <f>VRN!AU16</f>
        <v>0</v>
      </c>
    </row>
    <row r="6" spans="1:54" x14ac:dyDescent="0.25">
      <c r="A6" s="460" t="s">
        <v>611</v>
      </c>
      <c r="B6" s="461"/>
      <c r="C6" s="163">
        <f>-PMT(9%,25,C5)</f>
        <v>7204015794.1005325</v>
      </c>
      <c r="D6" s="108">
        <f t="shared" ref="D6:N6" si="2">-PMT(9%,25,D5)</f>
        <v>9494961336.1447716</v>
      </c>
      <c r="E6" s="108">
        <f t="shared" si="2"/>
        <v>11185962405.434837</v>
      </c>
      <c r="F6" s="108">
        <f t="shared" si="2"/>
        <v>13330671861.592997</v>
      </c>
      <c r="G6" s="108">
        <f t="shared" si="2"/>
        <v>16170342010.143198</v>
      </c>
      <c r="H6" s="108">
        <f t="shared" si="2"/>
        <v>15443101934.141817</v>
      </c>
      <c r="I6" s="108">
        <f t="shared" si="2"/>
        <v>13929184040.112341</v>
      </c>
      <c r="J6" s="108">
        <f t="shared" si="2"/>
        <v>14936756652.600859</v>
      </c>
      <c r="K6" s="108">
        <f t="shared" si="2"/>
        <v>13332865776.262003</v>
      </c>
      <c r="L6" s="108">
        <f t="shared" si="2"/>
        <v>13748514442.087162</v>
      </c>
      <c r="M6" s="108">
        <f t="shared" si="2"/>
        <v>14748053700.891682</v>
      </c>
      <c r="N6" s="108">
        <f t="shared" si="2"/>
        <v>13548176833.204218</v>
      </c>
      <c r="O6" s="108">
        <f>-PMT(11.5%,30,O5)</f>
        <v>14358671996.087845</v>
      </c>
      <c r="P6" s="108">
        <f t="shared" ref="P6:AG6" si="3">-PMT(11.5%,30,P5)</f>
        <v>15233115120.649593</v>
      </c>
      <c r="Q6" s="108">
        <f t="shared" si="3"/>
        <v>16160811831.497152</v>
      </c>
      <c r="R6" s="108">
        <f t="shared" si="3"/>
        <v>17145005272.035326</v>
      </c>
      <c r="S6" s="108">
        <f t="shared" si="3"/>
        <v>18189136093.10228</v>
      </c>
      <c r="T6" s="108">
        <f t="shared" si="3"/>
        <v>19296854481.172207</v>
      </c>
      <c r="U6" s="108">
        <f t="shared" si="3"/>
        <v>20472032919.075592</v>
      </c>
      <c r="V6" s="108">
        <f t="shared" si="3"/>
        <v>21718779723.84729</v>
      </c>
      <c r="W6" s="108">
        <f t="shared" si="3"/>
        <v>23041453409.029591</v>
      </c>
      <c r="X6" s="108">
        <f t="shared" si="3"/>
        <v>24444677921.639492</v>
      </c>
      <c r="Y6" s="108">
        <f t="shared" si="3"/>
        <v>25933358807.067337</v>
      </c>
      <c r="Z6" s="108">
        <f t="shared" si="3"/>
        <v>27512700358.417736</v>
      </c>
      <c r="AA6" s="108">
        <f t="shared" si="3"/>
        <v>29188223810.245377</v>
      </c>
      <c r="AB6" s="108">
        <f t="shared" si="3"/>
        <v>30965786640.289322</v>
      </c>
      <c r="AC6" s="108">
        <f t="shared" si="3"/>
        <v>32851603046.682941</v>
      </c>
      <c r="AD6" s="108">
        <f t="shared" si="3"/>
        <v>34852265672.225929</v>
      </c>
      <c r="AE6" s="108">
        <f t="shared" si="3"/>
        <v>36974768651.66449</v>
      </c>
      <c r="AF6" s="108">
        <f t="shared" si="3"/>
        <v>39226532062.550858</v>
      </c>
      <c r="AG6" s="126">
        <f t="shared" si="3"/>
        <v>41615427865.160202</v>
      </c>
      <c r="AH6" s="126">
        <f t="shared" ref="AH6:BB6" si="4">-PMT(11.5%,30,AH5)</f>
        <v>44149807422.14846</v>
      </c>
      <c r="AI6" s="126">
        <f t="shared" si="4"/>
        <v>46838530694.157295</v>
      </c>
      <c r="AJ6" s="126">
        <f t="shared" si="4"/>
        <v>49690997213.431473</v>
      </c>
      <c r="AK6" s="126">
        <f t="shared" si="4"/>
        <v>52717178943.729454</v>
      </c>
      <c r="AL6" s="126">
        <f t="shared" si="4"/>
        <v>55927655141.402573</v>
      </c>
      <c r="AM6" s="126">
        <f t="shared" si="4"/>
        <v>59333649339.513992</v>
      </c>
      <c r="AN6" s="126">
        <f t="shared" si="4"/>
        <v>62947068584.29039</v>
      </c>
      <c r="AO6" s="126">
        <f t="shared" si="4"/>
        <v>66780545061.073669</v>
      </c>
      <c r="AP6" s="126">
        <f t="shared" si="4"/>
        <v>70847480255.29306</v>
      </c>
      <c r="AQ6" s="126">
        <f t="shared" si="4"/>
        <v>75162091802.840393</v>
      </c>
      <c r="AR6" s="126">
        <f t="shared" si="4"/>
        <v>79739463193.633362</v>
      </c>
      <c r="AS6" s="126">
        <f t="shared" si="4"/>
        <v>84595596502.125641</v>
      </c>
      <c r="AT6" s="126">
        <f t="shared" si="4"/>
        <v>89747468329.105087</v>
      </c>
      <c r="AU6" s="126">
        <f t="shared" si="4"/>
        <v>95213089150.34758</v>
      </c>
      <c r="AV6" s="126">
        <f t="shared" si="4"/>
        <v>101011566279.60374</v>
      </c>
      <c r="AW6" s="126">
        <f t="shared" si="4"/>
        <v>107163170666.0316</v>
      </c>
      <c r="AX6" s="126">
        <f t="shared" si="4"/>
        <v>0</v>
      </c>
      <c r="AY6" s="126">
        <f t="shared" si="4"/>
        <v>0</v>
      </c>
      <c r="AZ6" s="126">
        <f t="shared" si="4"/>
        <v>0</v>
      </c>
      <c r="BA6" s="126">
        <f t="shared" si="4"/>
        <v>0</v>
      </c>
      <c r="BB6" s="126">
        <f t="shared" si="4"/>
        <v>0</v>
      </c>
    </row>
    <row r="7" spans="1:54" x14ac:dyDescent="0.25">
      <c r="A7" s="460" t="s">
        <v>631</v>
      </c>
      <c r="B7" s="461"/>
      <c r="C7" s="163"/>
      <c r="D7" s="108">
        <f>+D6*5%</f>
        <v>474748066.80723858</v>
      </c>
      <c r="E7" s="108">
        <f t="shared" ref="E7:AG7" si="5">+E6*5%</f>
        <v>559298120.27174187</v>
      </c>
      <c r="F7" s="108">
        <f t="shared" si="5"/>
        <v>666533593.07964993</v>
      </c>
      <c r="G7" s="108">
        <f t="shared" si="5"/>
        <v>808517100.50715995</v>
      </c>
      <c r="H7" s="108">
        <f t="shared" si="5"/>
        <v>772155096.70709085</v>
      </c>
      <c r="I7" s="108">
        <f t="shared" si="5"/>
        <v>696459202.00561714</v>
      </c>
      <c r="J7" s="108">
        <f t="shared" si="5"/>
        <v>746837832.63004303</v>
      </c>
      <c r="K7" s="108">
        <f t="shared" si="5"/>
        <v>666643288.81310022</v>
      </c>
      <c r="L7" s="108">
        <f t="shared" si="5"/>
        <v>687425722.1043582</v>
      </c>
      <c r="M7" s="108">
        <f t="shared" si="5"/>
        <v>737402685.04458416</v>
      </c>
      <c r="N7" s="108">
        <f t="shared" si="5"/>
        <v>677408841.66021097</v>
      </c>
      <c r="O7" s="108">
        <f t="shared" si="5"/>
        <v>717933599.80439234</v>
      </c>
      <c r="P7" s="108">
        <f t="shared" si="5"/>
        <v>761655756.03247976</v>
      </c>
      <c r="Q7" s="108">
        <f t="shared" si="5"/>
        <v>808040591.57485771</v>
      </c>
      <c r="R7" s="108">
        <f t="shared" si="5"/>
        <v>857250263.60176635</v>
      </c>
      <c r="S7" s="108">
        <f t="shared" si="5"/>
        <v>909456804.65511405</v>
      </c>
      <c r="T7" s="108">
        <f t="shared" si="5"/>
        <v>964842724.05861044</v>
      </c>
      <c r="U7" s="108">
        <f t="shared" si="5"/>
        <v>1023601645.9537797</v>
      </c>
      <c r="V7" s="108">
        <f t="shared" si="5"/>
        <v>1085938986.1923645</v>
      </c>
      <c r="W7" s="108">
        <f t="shared" si="5"/>
        <v>1152072670.4514797</v>
      </c>
      <c r="X7" s="108">
        <f t="shared" si="5"/>
        <v>1222233896.0819747</v>
      </c>
      <c r="Y7" s="108">
        <f t="shared" si="5"/>
        <v>1296667940.3533669</v>
      </c>
      <c r="Z7" s="108">
        <f t="shared" si="5"/>
        <v>1375635017.920887</v>
      </c>
      <c r="AA7" s="108">
        <f t="shared" si="5"/>
        <v>1459411190.512269</v>
      </c>
      <c r="AB7" s="108">
        <f t="shared" si="5"/>
        <v>1548289332.0144663</v>
      </c>
      <c r="AC7" s="108">
        <f t="shared" si="5"/>
        <v>1642580152.3341472</v>
      </c>
      <c r="AD7" s="108">
        <f t="shared" si="5"/>
        <v>1742613283.6112967</v>
      </c>
      <c r="AE7" s="108">
        <f t="shared" si="5"/>
        <v>1848738432.5832245</v>
      </c>
      <c r="AF7" s="108">
        <f t="shared" si="5"/>
        <v>1961326603.127543</v>
      </c>
      <c r="AG7" s="126">
        <f t="shared" si="5"/>
        <v>2080771393.2580101</v>
      </c>
      <c r="AH7" s="126">
        <f t="shared" ref="AH7:BB7" si="6">+AH6*5%</f>
        <v>2207490371.1074233</v>
      </c>
      <c r="AI7" s="126">
        <f t="shared" si="6"/>
        <v>2341926534.7078648</v>
      </c>
      <c r="AJ7" s="126">
        <f t="shared" si="6"/>
        <v>2484549860.6715736</v>
      </c>
      <c r="AK7" s="126">
        <f t="shared" si="6"/>
        <v>2635858947.1864729</v>
      </c>
      <c r="AL7" s="126">
        <f t="shared" si="6"/>
        <v>2796382757.0701289</v>
      </c>
      <c r="AM7" s="126">
        <f t="shared" si="6"/>
        <v>2966682466.9756999</v>
      </c>
      <c r="AN7" s="126">
        <f t="shared" si="6"/>
        <v>3147353429.2145195</v>
      </c>
      <c r="AO7" s="126">
        <f t="shared" si="6"/>
        <v>3339027253.0536838</v>
      </c>
      <c r="AP7" s="126">
        <f t="shared" si="6"/>
        <v>3542374012.7646532</v>
      </c>
      <c r="AQ7" s="126">
        <f t="shared" si="6"/>
        <v>3758104590.1420197</v>
      </c>
      <c r="AR7" s="126">
        <f t="shared" si="6"/>
        <v>3986973159.6816683</v>
      </c>
      <c r="AS7" s="126">
        <f t="shared" si="6"/>
        <v>4229779825.1062822</v>
      </c>
      <c r="AT7" s="126">
        <f t="shared" si="6"/>
        <v>4487373416.4552546</v>
      </c>
      <c r="AU7" s="126">
        <f t="shared" si="6"/>
        <v>4760654457.5173788</v>
      </c>
      <c r="AV7" s="126">
        <f t="shared" si="6"/>
        <v>5050578313.9801874</v>
      </c>
      <c r="AW7" s="126">
        <f t="shared" si="6"/>
        <v>5358158533.3015804</v>
      </c>
      <c r="AX7" s="126">
        <f t="shared" si="6"/>
        <v>0</v>
      </c>
      <c r="AY7" s="126">
        <f t="shared" si="6"/>
        <v>0</v>
      </c>
      <c r="AZ7" s="126">
        <f t="shared" si="6"/>
        <v>0</v>
      </c>
      <c r="BA7" s="126">
        <f t="shared" si="6"/>
        <v>0</v>
      </c>
      <c r="BB7" s="126">
        <f t="shared" si="6"/>
        <v>0</v>
      </c>
    </row>
    <row r="8" spans="1:54" x14ac:dyDescent="0.25">
      <c r="A8" s="460" t="s">
        <v>706</v>
      </c>
      <c r="B8" s="461"/>
      <c r="C8" s="163"/>
      <c r="D8" s="125">
        <f>2.5%*D5</f>
        <v>2331625339.2547522</v>
      </c>
      <c r="E8" s="125">
        <f t="shared" ref="E8:N8" si="7">2.5%*E5</f>
        <v>2746875154.6336193</v>
      </c>
      <c r="F8" s="125">
        <f t="shared" si="7"/>
        <v>3273539638.6986008</v>
      </c>
      <c r="G8" s="125">
        <f t="shared" si="7"/>
        <v>3970861790.8468575</v>
      </c>
      <c r="H8" s="125">
        <f t="shared" si="7"/>
        <v>3792277452.3860483</v>
      </c>
      <c r="I8" s="125">
        <f t="shared" si="7"/>
        <v>3420512976.6495366</v>
      </c>
      <c r="J8" s="125">
        <f t="shared" si="7"/>
        <v>3667937031.4978962</v>
      </c>
      <c r="K8" s="125">
        <f t="shared" si="7"/>
        <v>3274078386.235671</v>
      </c>
      <c r="L8" s="125">
        <f t="shared" si="7"/>
        <v>3376146938.9296274</v>
      </c>
      <c r="M8" s="125">
        <f t="shared" si="7"/>
        <v>3621598287.3765926</v>
      </c>
      <c r="N8" s="125">
        <f t="shared" si="7"/>
        <v>3326951136.1516833</v>
      </c>
      <c r="O8" s="125">
        <f>2.87%*O5</f>
        <v>3446635740.6711984</v>
      </c>
      <c r="P8" s="125">
        <f>3.14%*P5</f>
        <v>4000530519.8094616</v>
      </c>
      <c r="Q8" s="125">
        <f>3.09%*Q5</f>
        <v>4176580617.8214955</v>
      </c>
      <c r="R8" s="125">
        <f>3.09%*R5</f>
        <v>4430934377.4468241</v>
      </c>
      <c r="S8" s="125">
        <f t="shared" ref="S8:AG8" si="8">3.09%*S5</f>
        <v>4700778281.0333357</v>
      </c>
      <c r="T8" s="125">
        <f t="shared" si="8"/>
        <v>4987055678.3482656</v>
      </c>
      <c r="U8" s="125">
        <f t="shared" si="8"/>
        <v>5290767369.1596746</v>
      </c>
      <c r="V8" s="125">
        <f t="shared" si="8"/>
        <v>5612975101.9414978</v>
      </c>
      <c r="W8" s="125">
        <f t="shared" si="8"/>
        <v>5954805285.6497355</v>
      </c>
      <c r="X8" s="125">
        <f t="shared" si="8"/>
        <v>6317452927.545804</v>
      </c>
      <c r="Y8" s="125">
        <f t="shared" si="8"/>
        <v>6702185810.8333426</v>
      </c>
      <c r="Z8" s="125">
        <f t="shared" si="8"/>
        <v>7110348926.7130928</v>
      </c>
      <c r="AA8" s="125">
        <f t="shared" si="8"/>
        <v>7543369176.3499203</v>
      </c>
      <c r="AB8" s="125">
        <f t="shared" si="8"/>
        <v>8002760359.1896305</v>
      </c>
      <c r="AC8" s="125">
        <f t="shared" si="8"/>
        <v>8490128465.0642786</v>
      </c>
      <c r="AD8" s="125">
        <f t="shared" si="8"/>
        <v>9007177288.5866928</v>
      </c>
      <c r="AE8" s="125">
        <f t="shared" si="8"/>
        <v>9555714385.4616222</v>
      </c>
      <c r="AF8" s="125">
        <f t="shared" si="8"/>
        <v>10137657391.536236</v>
      </c>
      <c r="AG8" s="173">
        <f t="shared" si="8"/>
        <v>10755040726.680794</v>
      </c>
      <c r="AH8" s="173">
        <f t="shared" ref="AH8:BB8" si="9">3.09%*AH5</f>
        <v>11410022706.935652</v>
      </c>
      <c r="AI8" s="173">
        <f t="shared" si="9"/>
        <v>12104893089.788033</v>
      </c>
      <c r="AJ8" s="173">
        <f t="shared" si="9"/>
        <v>12842081078.956125</v>
      </c>
      <c r="AK8" s="173">
        <f t="shared" si="9"/>
        <v>13624163816.664553</v>
      </c>
      <c r="AL8" s="173">
        <f t="shared" si="9"/>
        <v>14453875393.099422</v>
      </c>
      <c r="AM8" s="173">
        <f t="shared" si="9"/>
        <v>15334116404.539177</v>
      </c>
      <c r="AN8" s="173">
        <f t="shared" si="9"/>
        <v>16267964093.575613</v>
      </c>
      <c r="AO8" s="173">
        <f t="shared" si="9"/>
        <v>17258683106.874367</v>
      </c>
      <c r="AP8" s="173">
        <f t="shared" si="9"/>
        <v>18309736908.083015</v>
      </c>
      <c r="AQ8" s="173">
        <f t="shared" si="9"/>
        <v>19424799885.785271</v>
      </c>
      <c r="AR8" s="173">
        <f t="shared" si="9"/>
        <v>20607770198.82959</v>
      </c>
      <c r="AS8" s="173">
        <f t="shared" si="9"/>
        <v>21862783403.938313</v>
      </c>
      <c r="AT8" s="173">
        <f t="shared" si="9"/>
        <v>23194226913.238155</v>
      </c>
      <c r="AU8" s="173">
        <f t="shared" si="9"/>
        <v>24606755332.254356</v>
      </c>
      <c r="AV8" s="173">
        <f t="shared" si="9"/>
        <v>26105306731.988647</v>
      </c>
      <c r="AW8" s="173">
        <f t="shared" si="9"/>
        <v>27695119911.966751</v>
      </c>
      <c r="AX8" s="173">
        <f t="shared" si="9"/>
        <v>0</v>
      </c>
      <c r="AY8" s="173">
        <f t="shared" si="9"/>
        <v>0</v>
      </c>
      <c r="AZ8" s="173">
        <f t="shared" si="9"/>
        <v>0</v>
      </c>
      <c r="BA8" s="173">
        <f t="shared" si="9"/>
        <v>0</v>
      </c>
      <c r="BB8" s="173">
        <f t="shared" si="9"/>
        <v>0</v>
      </c>
    </row>
    <row r="9" spans="1:54" x14ac:dyDescent="0.25">
      <c r="A9" s="462" t="s">
        <v>707</v>
      </c>
      <c r="B9" s="463"/>
      <c r="C9" s="163"/>
      <c r="D9" s="125">
        <f t="shared" ref="D9:L9" si="10">D4*7.6%</f>
        <v>7869888.1512625199</v>
      </c>
      <c r="E9" s="125">
        <f t="shared" si="10"/>
        <v>8558541.27957795</v>
      </c>
      <c r="F9" s="125">
        <f t="shared" si="10"/>
        <v>9212762.4719541874</v>
      </c>
      <c r="G9" s="125">
        <f t="shared" si="10"/>
        <v>9856840.0745774824</v>
      </c>
      <c r="H9" s="125">
        <f t="shared" si="10"/>
        <v>10496623.276552835</v>
      </c>
      <c r="I9" s="125">
        <f t="shared" si="10"/>
        <v>11073725.016172493</v>
      </c>
      <c r="J9" s="125">
        <f t="shared" si="10"/>
        <v>11611200.543958094</v>
      </c>
      <c r="K9" s="125">
        <f t="shared" si="10"/>
        <v>12131408.625722546</v>
      </c>
      <c r="L9" s="125">
        <f t="shared" si="10"/>
        <v>12822321.672922703</v>
      </c>
      <c r="M9" s="125">
        <f t="shared" ref="M9:BB9" si="11">M4*5.69%</f>
        <v>10336163.662498856</v>
      </c>
      <c r="N9" s="125">
        <f t="shared" si="11"/>
        <v>10542886.935748834</v>
      </c>
      <c r="O9" s="125">
        <f t="shared" si="11"/>
        <v>10877778.638413796</v>
      </c>
      <c r="P9" s="125">
        <f t="shared" si="11"/>
        <v>11283989.870350001</v>
      </c>
      <c r="Q9" s="125">
        <f t="shared" si="11"/>
        <v>11645077.546201203</v>
      </c>
      <c r="R9" s="125">
        <f t="shared" si="11"/>
        <v>12017720.027679641</v>
      </c>
      <c r="S9" s="125">
        <f t="shared" si="11"/>
        <v>12402287.068565391</v>
      </c>
      <c r="T9" s="125">
        <f t="shared" si="11"/>
        <v>12799160.254759483</v>
      </c>
      <c r="U9" s="125">
        <f t="shared" si="11"/>
        <v>13208733.382911786</v>
      </c>
      <c r="V9" s="125">
        <f t="shared" si="11"/>
        <v>13631412.851164965</v>
      </c>
      <c r="W9" s="125">
        <f t="shared" si="11"/>
        <v>14067618.062402243</v>
      </c>
      <c r="X9" s="125">
        <f t="shared" si="11"/>
        <v>14517781.840399116</v>
      </c>
      <c r="Y9" s="125">
        <f t="shared" si="11"/>
        <v>14982350.859291889</v>
      </c>
      <c r="Z9" s="125">
        <f t="shared" si="11"/>
        <v>15461786.08678923</v>
      </c>
      <c r="AA9" s="125">
        <f t="shared" si="11"/>
        <v>15956563.241566485</v>
      </c>
      <c r="AB9" s="125">
        <f t="shared" si="11"/>
        <v>16467173.265296614</v>
      </c>
      <c r="AC9" s="125">
        <f t="shared" si="11"/>
        <v>16994122.809786104</v>
      </c>
      <c r="AD9" s="125">
        <f t="shared" si="11"/>
        <v>17537934.739699259</v>
      </c>
      <c r="AE9" s="125">
        <f t="shared" si="11"/>
        <v>18099148.651369639</v>
      </c>
      <c r="AF9" s="125">
        <f t="shared" si="11"/>
        <v>18678321.408213466</v>
      </c>
      <c r="AG9" s="173">
        <f t="shared" si="11"/>
        <v>19276027.693276301</v>
      </c>
      <c r="AH9" s="173">
        <f t="shared" si="11"/>
        <v>19892860.579461142</v>
      </c>
      <c r="AI9" s="173">
        <f t="shared" si="11"/>
        <v>20529432.118003901</v>
      </c>
      <c r="AJ9" s="173">
        <f t="shared" si="11"/>
        <v>21186373.945780024</v>
      </c>
      <c r="AK9" s="173">
        <f t="shared" si="11"/>
        <v>21864337.912044987</v>
      </c>
      <c r="AL9" s="173">
        <f t="shared" si="11"/>
        <v>22563996.725230429</v>
      </c>
      <c r="AM9" s="173">
        <f t="shared" si="11"/>
        <v>23286044.620437805</v>
      </c>
      <c r="AN9" s="173">
        <f t="shared" si="11"/>
        <v>24031198.048291817</v>
      </c>
      <c r="AO9" s="173">
        <f t="shared" si="11"/>
        <v>24800196.385837153</v>
      </c>
      <c r="AP9" s="173">
        <f t="shared" si="11"/>
        <v>25593802.670183942</v>
      </c>
      <c r="AQ9" s="173">
        <f t="shared" si="11"/>
        <v>26412804.355629828</v>
      </c>
      <c r="AR9" s="173">
        <f t="shared" si="11"/>
        <v>27258014.095009983</v>
      </c>
      <c r="AS9" s="173">
        <f t="shared" si="11"/>
        <v>28130270.546050303</v>
      </c>
      <c r="AT9" s="173">
        <f t="shared" si="11"/>
        <v>29030439.203523915</v>
      </c>
      <c r="AU9" s="173">
        <f t="shared" si="11"/>
        <v>29959413.258036681</v>
      </c>
      <c r="AV9" s="173">
        <f t="shared" si="11"/>
        <v>30918114.482293855</v>
      </c>
      <c r="AW9" s="173">
        <f t="shared" si="11"/>
        <v>31907494.145727258</v>
      </c>
      <c r="AX9" s="173">
        <f t="shared" si="11"/>
        <v>32928533.95839053</v>
      </c>
      <c r="AY9" s="173">
        <f t="shared" si="11"/>
        <v>33982247.045059033</v>
      </c>
      <c r="AZ9" s="173">
        <f t="shared" si="11"/>
        <v>35069678.95050092</v>
      </c>
      <c r="BA9" s="173">
        <f t="shared" si="11"/>
        <v>36191908.676916957</v>
      </c>
      <c r="BB9" s="173">
        <f t="shared" si="11"/>
        <v>37350049.7545783</v>
      </c>
    </row>
    <row r="10" spans="1:54" ht="15.75" thickBot="1" x14ac:dyDescent="0.3">
      <c r="A10" s="610" t="s">
        <v>708</v>
      </c>
      <c r="B10" s="611"/>
      <c r="C10" s="240"/>
      <c r="D10" s="241">
        <f>SUM(D6:D9)</f>
        <v>12309204630.358027</v>
      </c>
      <c r="E10" s="241">
        <f>SUM(E6:E9)</f>
        <v>14500694221.619776</v>
      </c>
      <c r="F10" s="241">
        <f>SUM(F6:F9)</f>
        <v>17279957855.843201</v>
      </c>
      <c r="G10" s="241">
        <f t="shared" ref="G10:AG10" si="12">SUM(G6:G9)</f>
        <v>20959577741.571793</v>
      </c>
      <c r="H10" s="241">
        <f t="shared" si="12"/>
        <v>20018031106.511509</v>
      </c>
      <c r="I10" s="241">
        <f t="shared" si="12"/>
        <v>18057229943.783669</v>
      </c>
      <c r="J10" s="241">
        <f t="shared" si="12"/>
        <v>19363142717.272755</v>
      </c>
      <c r="K10" s="241">
        <f t="shared" si="12"/>
        <v>17285718859.936497</v>
      </c>
      <c r="L10" s="241">
        <f t="shared" si="12"/>
        <v>17824909424.794071</v>
      </c>
      <c r="M10" s="241">
        <f t="shared" si="12"/>
        <v>19117390836.975357</v>
      </c>
      <c r="N10" s="241">
        <f t="shared" si="12"/>
        <v>17563079697.951862</v>
      </c>
      <c r="O10" s="241">
        <f t="shared" si="12"/>
        <v>18534119115.201847</v>
      </c>
      <c r="P10" s="241">
        <f t="shared" si="12"/>
        <v>20006585386.361885</v>
      </c>
      <c r="Q10" s="241">
        <f t="shared" si="12"/>
        <v>21157078118.439705</v>
      </c>
      <c r="R10" s="241">
        <f t="shared" si="12"/>
        <v>22445207633.111595</v>
      </c>
      <c r="S10" s="241">
        <f t="shared" si="12"/>
        <v>23811773465.859295</v>
      </c>
      <c r="T10" s="241">
        <f t="shared" si="12"/>
        <v>25261552043.833843</v>
      </c>
      <c r="U10" s="241">
        <f t="shared" si="12"/>
        <v>26799610667.57196</v>
      </c>
      <c r="V10" s="241">
        <f t="shared" si="12"/>
        <v>28431325224.832317</v>
      </c>
      <c r="W10" s="241">
        <f t="shared" si="12"/>
        <v>30162398983.193207</v>
      </c>
      <c r="X10" s="241">
        <f t="shared" si="12"/>
        <v>31998882527.10767</v>
      </c>
      <c r="Y10" s="241">
        <f t="shared" si="12"/>
        <v>33947194909.113338</v>
      </c>
      <c r="Z10" s="241">
        <f t="shared" si="12"/>
        <v>36014146089.138504</v>
      </c>
      <c r="AA10" s="241">
        <f t="shared" si="12"/>
        <v>38206960740.349136</v>
      </c>
      <c r="AB10" s="241">
        <f t="shared" si="12"/>
        <v>40533303504.758713</v>
      </c>
      <c r="AC10" s="241">
        <f t="shared" si="12"/>
        <v>43001305786.891151</v>
      </c>
      <c r="AD10" s="241">
        <f t="shared" si="12"/>
        <v>45619594179.16362</v>
      </c>
      <c r="AE10" s="241">
        <f t="shared" si="12"/>
        <v>48397320618.360703</v>
      </c>
      <c r="AF10" s="241">
        <f t="shared" si="12"/>
        <v>51344194378.622841</v>
      </c>
      <c r="AG10" s="242">
        <f t="shared" si="12"/>
        <v>54470516012.792282</v>
      </c>
      <c r="AH10" s="242">
        <f t="shared" ref="AH10:BB10" si="13">SUM(AH6:AH9)</f>
        <v>57787213360.770996</v>
      </c>
      <c r="AI10" s="242">
        <f t="shared" si="13"/>
        <v>61305879750.771194</v>
      </c>
      <c r="AJ10" s="242">
        <f t="shared" si="13"/>
        <v>65038814527.004944</v>
      </c>
      <c r="AK10" s="242">
        <f t="shared" si="13"/>
        <v>68999066045.492523</v>
      </c>
      <c r="AL10" s="242">
        <f t="shared" si="13"/>
        <v>73200477288.297363</v>
      </c>
      <c r="AM10" s="242">
        <f t="shared" si="13"/>
        <v>77657734255.649307</v>
      </c>
      <c r="AN10" s="242">
        <f t="shared" si="13"/>
        <v>82386417305.128815</v>
      </c>
      <c r="AO10" s="242">
        <f t="shared" si="13"/>
        <v>87403055617.387543</v>
      </c>
      <c r="AP10" s="242">
        <f t="shared" si="13"/>
        <v>92725184978.810898</v>
      </c>
      <c r="AQ10" s="242">
        <f t="shared" si="13"/>
        <v>98371409083.123306</v>
      </c>
      <c r="AR10" s="242">
        <f t="shared" si="13"/>
        <v>104361464566.23964</v>
      </c>
      <c r="AS10" s="242">
        <f t="shared" si="13"/>
        <v>110716290001.71628</v>
      </c>
      <c r="AT10" s="242">
        <f t="shared" si="13"/>
        <v>117458099098.00203</v>
      </c>
      <c r="AU10" s="242">
        <f t="shared" si="13"/>
        <v>124610458353.37737</v>
      </c>
      <c r="AV10" s="242">
        <f t="shared" si="13"/>
        <v>132198369440.05489</v>
      </c>
      <c r="AW10" s="242">
        <f t="shared" si="13"/>
        <v>140248356605.44565</v>
      </c>
      <c r="AX10" s="242">
        <f t="shared" si="13"/>
        <v>32928533.95839053</v>
      </c>
      <c r="AY10" s="242">
        <f t="shared" si="13"/>
        <v>33982247.045059033</v>
      </c>
      <c r="AZ10" s="242">
        <f t="shared" si="13"/>
        <v>35069678.95050092</v>
      </c>
      <c r="BA10" s="242">
        <f t="shared" si="13"/>
        <v>36191908.676916957</v>
      </c>
      <c r="BB10" s="242">
        <f t="shared" si="13"/>
        <v>37350049.7545783</v>
      </c>
    </row>
    <row r="11" spans="1:54" ht="18" thickBot="1" x14ac:dyDescent="0.3">
      <c r="A11" s="464" t="s">
        <v>709</v>
      </c>
      <c r="B11" s="465"/>
      <c r="C11" s="247"/>
      <c r="D11" s="248">
        <f>+D10*D30</f>
        <v>13667869556.813427</v>
      </c>
      <c r="E11" s="248">
        <f t="shared" ref="E11:N11" si="14">+E10*E30</f>
        <v>17217306825.795975</v>
      </c>
      <c r="F11" s="248">
        <f t="shared" si="14"/>
        <v>22421341065.237881</v>
      </c>
      <c r="G11" s="248">
        <f t="shared" si="14"/>
        <v>28752385033.411865</v>
      </c>
      <c r="H11" s="248">
        <f t="shared" si="14"/>
        <v>28735070491.887005</v>
      </c>
      <c r="I11" s="248">
        <f t="shared" si="14"/>
        <v>26456487019.314499</v>
      </c>
      <c r="J11" s="248">
        <f t="shared" si="14"/>
        <v>29941910529.755341</v>
      </c>
      <c r="K11" s="248">
        <f t="shared" si="14"/>
        <v>27069469200.651379</v>
      </c>
      <c r="L11" s="248">
        <f t="shared" si="14"/>
        <v>30424933310.067291</v>
      </c>
      <c r="M11" s="248">
        <f t="shared" si="14"/>
        <v>31918585272.241047</v>
      </c>
      <c r="N11" s="248">
        <f t="shared" si="14"/>
        <v>30605393273.96627</v>
      </c>
      <c r="O11" s="248">
        <f>+O10*O30/$L$30</f>
        <v>19905959604.159985</v>
      </c>
      <c r="P11" s="248">
        <f t="shared" ref="P11:AG11" si="15">+P10*P30/$L$30</f>
        <v>22132035862.292065</v>
      </c>
      <c r="Q11" s="248">
        <f t="shared" si="15"/>
        <v>24106896738.968437</v>
      </c>
      <c r="R11" s="248">
        <f t="shared" si="15"/>
        <v>26341861983.828239</v>
      </c>
      <c r="S11" s="248">
        <f t="shared" si="15"/>
        <v>28784043983.696499</v>
      </c>
      <c r="T11" s="248">
        <f t="shared" si="15"/>
        <v>31452655760.972698</v>
      </c>
      <c r="U11" s="248">
        <f t="shared" si="15"/>
        <v>34368691805.411545</v>
      </c>
      <c r="V11" s="248">
        <f t="shared" si="15"/>
        <v>37555093258.040268</v>
      </c>
      <c r="W11" s="248">
        <f t="shared" si="15"/>
        <v>41036928411.694267</v>
      </c>
      <c r="X11" s="248">
        <f t="shared" si="15"/>
        <v>44841589948.410583</v>
      </c>
      <c r="Y11" s="248">
        <f t="shared" si="15"/>
        <v>48999010465.611717</v>
      </c>
      <c r="Z11" s="248">
        <f t="shared" si="15"/>
        <v>53541897986.916573</v>
      </c>
      <c r="AA11" s="248">
        <f t="shared" si="15"/>
        <v>58505993310.663544</v>
      </c>
      <c r="AB11" s="248">
        <f t="shared" si="15"/>
        <v>63930351221.059814</v>
      </c>
      <c r="AC11" s="248">
        <f t="shared" si="15"/>
        <v>69857647774.633408</v>
      </c>
      <c r="AD11" s="248">
        <f t="shared" si="15"/>
        <v>76334516079.836761</v>
      </c>
      <c r="AE11" s="248">
        <f t="shared" si="15"/>
        <v>83411913211.849014</v>
      </c>
      <c r="AF11" s="248">
        <f t="shared" si="15"/>
        <v>91145521149.610062</v>
      </c>
      <c r="AG11" s="249">
        <f t="shared" si="15"/>
        <v>99596184889.823502</v>
      </c>
      <c r="AH11" s="249">
        <f t="shared" ref="AH11:BB11" si="16">+AH10*AH30/$L$30</f>
        <v>108830391185.1918</v>
      </c>
      <c r="AI11" s="249">
        <f t="shared" si="16"/>
        <v>118920791673.79898</v>
      </c>
      <c r="AJ11" s="249">
        <f t="shared" si="16"/>
        <v>129946774515.84724</v>
      </c>
      <c r="AK11" s="249">
        <f t="shared" si="16"/>
        <v>141995089035.6347</v>
      </c>
      <c r="AL11" s="249">
        <f t="shared" si="16"/>
        <v>155160528283.73328</v>
      </c>
      <c r="AM11" s="249">
        <f t="shared" si="16"/>
        <v>169546674890.0719</v>
      </c>
      <c r="AN11" s="249">
        <f t="shared" si="16"/>
        <v>185266716076.63541</v>
      </c>
      <c r="AO11" s="249">
        <f t="shared" si="16"/>
        <v>202444334242.67282</v>
      </c>
      <c r="AP11" s="249">
        <f t="shared" si="16"/>
        <v>221214680129.95419</v>
      </c>
      <c r="AQ11" s="249">
        <f t="shared" si="16"/>
        <v>241725436225.39676</v>
      </c>
      <c r="AR11" s="249">
        <f t="shared" si="16"/>
        <v>264137978768.41849</v>
      </c>
      <c r="AS11" s="249">
        <f t="shared" si="16"/>
        <v>288628647506.24963</v>
      </c>
      <c r="AT11" s="249">
        <f t="shared" si="16"/>
        <v>315390133188.25446</v>
      </c>
      <c r="AU11" s="249">
        <f t="shared" si="16"/>
        <v>344632993716.74689</v>
      </c>
      <c r="AV11" s="249">
        <f t="shared" si="16"/>
        <v>376587310884.12457</v>
      </c>
      <c r="AW11" s="249">
        <f t="shared" si="16"/>
        <v>411504500732.35645</v>
      </c>
      <c r="AX11" s="249">
        <f t="shared" si="16"/>
        <v>99514514.551152319</v>
      </c>
      <c r="AY11" s="249">
        <f t="shared" si="16"/>
        <v>105779948.38729289</v>
      </c>
      <c r="AZ11" s="249">
        <f t="shared" si="16"/>
        <v>112439853.93775685</v>
      </c>
      <c r="BA11" s="249">
        <f t="shared" si="16"/>
        <v>119519067.14167807</v>
      </c>
      <c r="BB11" s="249">
        <f t="shared" si="16"/>
        <v>127043987.60891812</v>
      </c>
    </row>
    <row r="12" spans="1:54" x14ac:dyDescent="0.25">
      <c r="A12" s="612" t="s">
        <v>678</v>
      </c>
      <c r="B12" s="613"/>
      <c r="C12" s="243">
        <f>'Financiacion REFURBISHMENT'!B5-'Financiacion REFURBISHMENT'!B6</f>
        <v>17681425870.68</v>
      </c>
      <c r="D12" s="244"/>
      <c r="E12" s="245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>
        <f>'Financiacion REFURBISHMENT'!C5-'Financiacion REFURBISHMENT'!C6</f>
        <v>4198124670</v>
      </c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46"/>
      <c r="AH12" s="246"/>
      <c r="AI12" s="246"/>
      <c r="AJ12" s="246"/>
      <c r="AK12" s="246"/>
      <c r="AL12" s="246"/>
      <c r="AM12" s="246"/>
      <c r="AN12" s="246"/>
      <c r="AO12" s="246"/>
      <c r="AP12" s="246"/>
      <c r="AQ12" s="246"/>
      <c r="AR12" s="246"/>
      <c r="AS12" s="246"/>
      <c r="AT12" s="246"/>
      <c r="AU12" s="246"/>
      <c r="AV12" s="246"/>
      <c r="AW12" s="246"/>
      <c r="AX12" s="246"/>
      <c r="AY12" s="246"/>
      <c r="AZ12" s="246"/>
      <c r="BA12" s="246"/>
      <c r="BB12" s="246"/>
    </row>
    <row r="13" spans="1:54" x14ac:dyDescent="0.25">
      <c r="A13" s="614"/>
      <c r="B13" s="615"/>
      <c r="C13" s="373"/>
      <c r="D13" s="374">
        <f>'Financiacion REFURBISHMENT'!C22+'Financiacion REFURBISHMENT'!C23</f>
        <v>510929850.97080898</v>
      </c>
      <c r="E13" s="374">
        <f>'Financiacion REFURBISHMENT'!D22+'Financiacion REFURBISHMENT'!D23</f>
        <v>542198757.85022259</v>
      </c>
      <c r="F13" s="374">
        <f>'Financiacion REFURBISHMENT'!E22+'Financiacion REFURBISHMENT'!E23</f>
        <v>575381321.83065605</v>
      </c>
      <c r="G13" s="374">
        <f>'Financiacion REFURBISHMENT'!F22+'Financiacion REFURBISHMENT'!F23</f>
        <v>610594658.7266922</v>
      </c>
      <c r="H13" s="374">
        <f>'Financiacion REFURBISHMENT'!G22+'Financiacion REFURBISHMENT'!G23</f>
        <v>647963051.84076548</v>
      </c>
      <c r="I13" s="374">
        <f>'Financiacion REFURBISHMENT'!H22+'Financiacion REFURBISHMENT'!H23</f>
        <v>687618390.61342049</v>
      </c>
      <c r="J13" s="374">
        <f>'Financiacion REFURBISHMENT'!I22+'Financiacion REFURBISHMENT'!I23</f>
        <v>729700636.11896181</v>
      </c>
      <c r="K13" s="374">
        <f>'Financiacion REFURBISHMENT'!J22+'Financiacion REFURBISHMENT'!J23</f>
        <v>774358315.04944229</v>
      </c>
      <c r="L13" s="374">
        <f>'Financiacion REFURBISHMENT'!K22+'Financiacion REFURBISHMENT'!K23</f>
        <v>821749043.93046856</v>
      </c>
      <c r="M13" s="374">
        <f>'Financiacion REFURBISHMENT'!L22+'Financiacion REFURBISHMENT'!L23</f>
        <v>872040085.41901302</v>
      </c>
      <c r="N13" s="374">
        <f>'Financiacion REFURBISHMENT'!M22+'Financiacion REFURBISHMENT'!M23</f>
        <v>925408938.64665675</v>
      </c>
      <c r="O13" s="374">
        <f>'Financiacion REFURBISHMENT'!N22+'Financiacion REFURBISHMENT'!N23</f>
        <v>982043965.69183207</v>
      </c>
      <c r="P13" s="374">
        <f>'Financiacion REFURBISHMENT'!O22+'Financiacion REFURBISHMENT'!O23</f>
        <v>1042145056.3921723</v>
      </c>
      <c r="Q13" s="374">
        <f>'Financiacion REFURBISHMENT'!P22+'Financiacion REFURBISHMENT'!P23</f>
        <v>1105924333.8433733</v>
      </c>
      <c r="R13" s="374">
        <f>'Financiacion REFURBISHMENT'!Q22+'Financiacion REFURBISHMENT'!Q23</f>
        <v>1611765784.9086897</v>
      </c>
      <c r="S13" s="374">
        <f>'Financiacion REFURBISHMENT'!R22+'Financiacion REFURBISHMENT'!R23</f>
        <v>1702431359.2957208</v>
      </c>
      <c r="T13" s="374">
        <f>'Financiacion REFURBISHMENT'!S22+'Financiacion REFURBISHMENT'!S23</f>
        <v>1798302763.694315</v>
      </c>
      <c r="U13" s="374">
        <f>'Financiacion REFURBISHMENT'!T22+'Financiacion REFURBISHMENT'!T23</f>
        <v>1899683850.0661197</v>
      </c>
      <c r="V13" s="374">
        <f>'Financiacion REFURBISHMENT'!U22+'Financiacion REFURBISHMENT'!U23</f>
        <v>2006896432.084929</v>
      </c>
      <c r="W13" s="374">
        <f>'Financiacion REFURBISHMENT'!V22+'Financiacion REFURBISHMENT'!V23</f>
        <v>2120281357.130264</v>
      </c>
      <c r="X13" s="374">
        <f>'Financiacion REFURBISHMENT'!W22+'Financiacion REFURBISHMENT'!W23</f>
        <v>2240199642.7146482</v>
      </c>
      <c r="Y13" s="374">
        <f>'Financiacion REFURBISHMENT'!X22+'Financiacion REFURBISHMENT'!X23</f>
        <v>2367033681.2375011</v>
      </c>
      <c r="Z13" s="374">
        <f>'Financiacion REFURBISHMENT'!Y22+'Financiacion REFURBISHMENT'!Y23</f>
        <v>2501188517.1946678</v>
      </c>
      <c r="AA13" s="374">
        <f>'Financiacion REFURBISHMENT'!Z22+'Financiacion REFURBISHMENT'!Z23</f>
        <v>2643093201.2230263</v>
      </c>
      <c r="AB13" s="374">
        <f>'Financiacion REFURBISHMENT'!AA22+'Financiacion REFURBISHMENT'!AA23</f>
        <v>2793202225.6252904</v>
      </c>
      <c r="AC13" s="374">
        <f>'Financiacion REFURBISHMENT'!AB22+'Financiacion REFURBISHMENT'!AB23</f>
        <v>2951997046.3019323</v>
      </c>
      <c r="AD13" s="374">
        <f>'Financiacion REFURBISHMENT'!AC22+'Financiacion REFURBISHMENT'!AC23</f>
        <v>3119987696.316124</v>
      </c>
      <c r="AE13" s="374">
        <f>'Financiacion REFURBISHMENT'!AD22+'Financiacion REFURBISHMENT'!AD23</f>
        <v>3297714496.6347466</v>
      </c>
      <c r="AF13" s="374">
        <f>'Financiacion REFURBISHMENT'!AE22+'Financiacion REFURBISHMENT'!AE23</f>
        <v>3485749869.9249439</v>
      </c>
      <c r="AG13" s="374">
        <f>'Financiacion REFURBISHMENT'!AF22+'Financiacion REFURBISHMENT'!AF23</f>
        <v>3684700263.6426363</v>
      </c>
      <c r="AH13" s="374">
        <f>'Financiacion REFURBISHMENT'!AG22+'Financiacion REFURBISHMENT'!AG23</f>
        <v>0</v>
      </c>
      <c r="AI13" s="374">
        <f>'Financiacion REFURBISHMENT'!AH22+'Financiacion REFURBISHMENT'!AH23</f>
        <v>0</v>
      </c>
      <c r="AJ13" s="374">
        <f>'Financiacion REFURBISHMENT'!AI22+'Financiacion REFURBISHMENT'!AI23</f>
        <v>0</v>
      </c>
      <c r="AK13" s="374">
        <f>'Financiacion REFURBISHMENT'!AJ22+'Financiacion REFURBISHMENT'!AJ23</f>
        <v>0</v>
      </c>
      <c r="AL13" s="374">
        <f>'Financiacion REFURBISHMENT'!AK22+'Financiacion REFURBISHMENT'!AK23</f>
        <v>0</v>
      </c>
      <c r="AM13" s="374">
        <f>'Financiacion REFURBISHMENT'!AL22+'Financiacion REFURBISHMENT'!AL23</f>
        <v>0</v>
      </c>
      <c r="AN13" s="374">
        <f>'Financiacion REFURBISHMENT'!AM22+'Financiacion REFURBISHMENT'!AM23</f>
        <v>0</v>
      </c>
      <c r="AO13" s="374">
        <f>'Financiacion REFURBISHMENT'!AN22+'Financiacion REFURBISHMENT'!AN23</f>
        <v>0</v>
      </c>
      <c r="AP13" s="374">
        <f>'Financiacion REFURBISHMENT'!AO22+'Financiacion REFURBISHMENT'!AO23</f>
        <v>0</v>
      </c>
      <c r="AQ13" s="374">
        <f>'Financiacion REFURBISHMENT'!AP22+'Financiacion REFURBISHMENT'!AP23</f>
        <v>0</v>
      </c>
      <c r="AR13" s="374">
        <f>'Financiacion REFURBISHMENT'!AQ22+'Financiacion REFURBISHMENT'!AQ23</f>
        <v>0</v>
      </c>
      <c r="AS13" s="374">
        <f>'Financiacion REFURBISHMENT'!AR22+'Financiacion REFURBISHMENT'!AR23</f>
        <v>0</v>
      </c>
      <c r="AT13" s="374">
        <f>'Financiacion REFURBISHMENT'!AS22+'Financiacion REFURBISHMENT'!AS23</f>
        <v>0</v>
      </c>
      <c r="AU13" s="374">
        <f>'Financiacion REFURBISHMENT'!AT22+'Financiacion REFURBISHMENT'!AT23</f>
        <v>0</v>
      </c>
      <c r="AV13" s="374">
        <f>'Financiacion REFURBISHMENT'!AU22+'Financiacion REFURBISHMENT'!AU23</f>
        <v>0</v>
      </c>
      <c r="AW13" s="374">
        <f>'Financiacion REFURBISHMENT'!AV22+'Financiacion REFURBISHMENT'!AV23</f>
        <v>0</v>
      </c>
      <c r="AX13" s="374">
        <f>'Financiacion REFURBISHMENT'!AW22+'Financiacion REFURBISHMENT'!AW23</f>
        <v>0</v>
      </c>
      <c r="AY13" s="374">
        <f>'Financiacion REFURBISHMENT'!AX22+'Financiacion REFURBISHMENT'!AX23</f>
        <v>0</v>
      </c>
      <c r="AZ13" s="374">
        <f>'Financiacion REFURBISHMENT'!AY22+'Financiacion REFURBISHMENT'!AY23</f>
        <v>0</v>
      </c>
      <c r="BA13" s="374">
        <f>'Financiacion REFURBISHMENT'!AZ22+'Financiacion REFURBISHMENT'!AZ23</f>
        <v>0</v>
      </c>
      <c r="BB13" s="374">
        <f>'Financiacion REFURBISHMENT'!BA22+'Financiacion REFURBISHMENT'!BA23</f>
        <v>0</v>
      </c>
    </row>
    <row r="14" spans="1:54" x14ac:dyDescent="0.25">
      <c r="A14" s="616"/>
      <c r="B14" s="617"/>
      <c r="C14" s="236">
        <v>722507045</v>
      </c>
      <c r="D14" s="237">
        <v>16170672.84</v>
      </c>
      <c r="E14" s="237"/>
      <c r="F14" s="238"/>
      <c r="G14" s="238"/>
      <c r="H14" s="238"/>
      <c r="I14" s="238"/>
      <c r="J14" s="238"/>
      <c r="K14" s="238">
        <v>11530199</v>
      </c>
      <c r="L14" s="238">
        <v>0</v>
      </c>
      <c r="M14" s="238">
        <v>1136277017.5899999</v>
      </c>
      <c r="N14" s="238">
        <v>343372363.60000002</v>
      </c>
      <c r="O14" s="238">
        <v>29102571.469999999</v>
      </c>
      <c r="P14" s="238">
        <v>1396559254</v>
      </c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</row>
    <row r="15" spans="1:54" ht="15.75" thickBot="1" x14ac:dyDescent="0.3">
      <c r="A15" s="466" t="s">
        <v>620</v>
      </c>
      <c r="B15" s="467"/>
      <c r="C15" s="166">
        <f>+C13+C12+C14</f>
        <v>18403932915.68</v>
      </c>
      <c r="D15" s="166">
        <f t="shared" ref="D15:BB15" si="17">+D13+D12+D14</f>
        <v>527100523.81080896</v>
      </c>
      <c r="E15" s="166">
        <f t="shared" si="17"/>
        <v>542198757.85022259</v>
      </c>
      <c r="F15" s="166">
        <f t="shared" si="17"/>
        <v>575381321.83065605</v>
      </c>
      <c r="G15" s="166">
        <f t="shared" si="17"/>
        <v>610594658.7266922</v>
      </c>
      <c r="H15" s="166">
        <f t="shared" si="17"/>
        <v>647963051.84076548</v>
      </c>
      <c r="I15" s="166">
        <f t="shared" si="17"/>
        <v>687618390.61342049</v>
      </c>
      <c r="J15" s="166">
        <f t="shared" si="17"/>
        <v>729700636.11896181</v>
      </c>
      <c r="K15" s="166">
        <f t="shared" si="17"/>
        <v>785888514.04944229</v>
      </c>
      <c r="L15" s="166">
        <f t="shared" si="17"/>
        <v>821749043.93046856</v>
      </c>
      <c r="M15" s="166">
        <f t="shared" si="17"/>
        <v>2008317103.0090129</v>
      </c>
      <c r="N15" s="166">
        <f t="shared" si="17"/>
        <v>1268781302.2466569</v>
      </c>
      <c r="O15" s="166">
        <f t="shared" si="17"/>
        <v>1011146537.1618321</v>
      </c>
      <c r="P15" s="166">
        <f t="shared" si="17"/>
        <v>2438704310.3921723</v>
      </c>
      <c r="Q15" s="166">
        <f t="shared" si="17"/>
        <v>5304049003.8433733</v>
      </c>
      <c r="R15" s="166">
        <f t="shared" si="17"/>
        <v>1611765784.9086897</v>
      </c>
      <c r="S15" s="166">
        <f t="shared" si="17"/>
        <v>1702431359.2957208</v>
      </c>
      <c r="T15" s="166">
        <f t="shared" si="17"/>
        <v>1798302763.694315</v>
      </c>
      <c r="U15" s="166">
        <f t="shared" si="17"/>
        <v>1899683850.0661197</v>
      </c>
      <c r="V15" s="166">
        <f t="shared" si="17"/>
        <v>2006896432.084929</v>
      </c>
      <c r="W15" s="166">
        <f t="shared" si="17"/>
        <v>2120281357.130264</v>
      </c>
      <c r="X15" s="166">
        <f t="shared" si="17"/>
        <v>2240199642.7146482</v>
      </c>
      <c r="Y15" s="166">
        <f t="shared" si="17"/>
        <v>2367033681.2375011</v>
      </c>
      <c r="Z15" s="166">
        <f t="shared" si="17"/>
        <v>2501188517.1946678</v>
      </c>
      <c r="AA15" s="166">
        <f t="shared" si="17"/>
        <v>2643093201.2230263</v>
      </c>
      <c r="AB15" s="166">
        <f t="shared" si="17"/>
        <v>2793202225.6252904</v>
      </c>
      <c r="AC15" s="166">
        <f t="shared" si="17"/>
        <v>2951997046.3019323</v>
      </c>
      <c r="AD15" s="166">
        <f t="shared" si="17"/>
        <v>3119987696.316124</v>
      </c>
      <c r="AE15" s="166">
        <f t="shared" si="17"/>
        <v>3297714496.6347466</v>
      </c>
      <c r="AF15" s="166">
        <f t="shared" si="17"/>
        <v>3485749869.9249439</v>
      </c>
      <c r="AG15" s="166">
        <f t="shared" si="17"/>
        <v>3684700263.6426363</v>
      </c>
      <c r="AH15" s="166">
        <f t="shared" si="17"/>
        <v>0</v>
      </c>
      <c r="AI15" s="166">
        <f t="shared" si="17"/>
        <v>0</v>
      </c>
      <c r="AJ15" s="166">
        <f t="shared" si="17"/>
        <v>0</v>
      </c>
      <c r="AK15" s="166">
        <f t="shared" si="17"/>
        <v>0</v>
      </c>
      <c r="AL15" s="166">
        <f t="shared" si="17"/>
        <v>0</v>
      </c>
      <c r="AM15" s="166">
        <f t="shared" si="17"/>
        <v>0</v>
      </c>
      <c r="AN15" s="166">
        <f t="shared" si="17"/>
        <v>0</v>
      </c>
      <c r="AO15" s="166">
        <f t="shared" si="17"/>
        <v>0</v>
      </c>
      <c r="AP15" s="166">
        <f t="shared" si="17"/>
        <v>0</v>
      </c>
      <c r="AQ15" s="166">
        <f t="shared" si="17"/>
        <v>0</v>
      </c>
      <c r="AR15" s="166">
        <f t="shared" si="17"/>
        <v>0</v>
      </c>
      <c r="AS15" s="166">
        <f t="shared" si="17"/>
        <v>0</v>
      </c>
      <c r="AT15" s="166">
        <f t="shared" si="17"/>
        <v>0</v>
      </c>
      <c r="AU15" s="166">
        <f t="shared" si="17"/>
        <v>0</v>
      </c>
      <c r="AV15" s="166">
        <f t="shared" si="17"/>
        <v>0</v>
      </c>
      <c r="AW15" s="166">
        <f t="shared" si="17"/>
        <v>0</v>
      </c>
      <c r="AX15" s="166">
        <f t="shared" si="17"/>
        <v>0</v>
      </c>
      <c r="AY15" s="166">
        <f t="shared" si="17"/>
        <v>0</v>
      </c>
      <c r="AZ15" s="166">
        <f t="shared" si="17"/>
        <v>0</v>
      </c>
      <c r="BA15" s="166">
        <f t="shared" si="17"/>
        <v>0</v>
      </c>
      <c r="BB15" s="166">
        <f t="shared" si="17"/>
        <v>0</v>
      </c>
    </row>
    <row r="16" spans="1:54" ht="15.75" thickBot="1" x14ac:dyDescent="0.3">
      <c r="A16" s="468"/>
      <c r="B16" s="46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</row>
    <row r="17" spans="1:54" x14ac:dyDescent="0.25">
      <c r="A17" s="469" t="s">
        <v>680</v>
      </c>
      <c r="B17" s="470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25">
        <f>AVERAGE(E18:O18)</f>
        <v>1.1362029662636455</v>
      </c>
      <c r="Q17" s="286">
        <f>'Ingresos&amp;Compensaciones'!N26</f>
        <v>0.99747717333333341</v>
      </c>
      <c r="R17" s="286">
        <f>'Ingresos&amp;Compensaciones'!N27</f>
        <v>0.99834730083333334</v>
      </c>
      <c r="S17" s="286">
        <f>'Ingresos&amp;Compensaciones'!N28</f>
        <v>0.99752668499999986</v>
      </c>
      <c r="T17" s="286">
        <f>'Ingresos&amp;Compensaciones'!N29</f>
        <v>0.99809902083333346</v>
      </c>
      <c r="U17" s="286">
        <f>'Ingresos&amp;Compensaciones'!N30</f>
        <v>0.99765568583333319</v>
      </c>
      <c r="V17" s="286">
        <f>'Ingresos&amp;Compensaciones'!N31</f>
        <v>0.99761286166666674</v>
      </c>
      <c r="W17" s="286">
        <f>'Ingresos&amp;Compensaciones'!N32</f>
        <v>0.99659689083333325</v>
      </c>
      <c r="X17" s="286">
        <f>'Ingresos&amp;Compensaciones'!N33</f>
        <v>0.99473523333333336</v>
      </c>
      <c r="Y17" s="286">
        <f>'Ingresos&amp;Compensaciones'!N34</f>
        <v>0.99149101583333354</v>
      </c>
      <c r="Z17" s="286">
        <f>'Ingresos&amp;Compensaciones'!N35</f>
        <v>0.99489966166666655</v>
      </c>
      <c r="AA17" s="286">
        <f>'Ingresos&amp;Compensaciones'!N36</f>
        <v>0.9937551937500001</v>
      </c>
      <c r="AB17" s="286">
        <f>'Ingresos&amp;Compensaciones'!N37</f>
        <v>0.99423176746422415</v>
      </c>
      <c r="AC17" s="286">
        <f>'Ingresos&amp;Compensaciones'!N38</f>
        <v>0.99408975364129581</v>
      </c>
      <c r="AD17" s="286">
        <f>'Ingresos&amp;Compensaciones'!N39</f>
        <v>0.9939604977732639</v>
      </c>
      <c r="AE17" s="286">
        <f>'Ingresos&amp;Compensaciones'!N40</f>
        <v>0.99384201111685033</v>
      </c>
      <c r="AF17" s="286">
        <f>'Ingresos&amp;Compensaciones'!N41</f>
        <v>0.99373272821392789</v>
      </c>
      <c r="AG17" s="287">
        <f>'Ingresos&amp;Compensaciones'!N42</f>
        <v>0.99363139581251347</v>
      </c>
      <c r="AH17" s="287">
        <f>'Ingresos&amp;Compensaciones'!N43</f>
        <v>0.99353699577023891</v>
      </c>
      <c r="AI17" s="287">
        <f>'Ingresos&amp;Compensaciones'!N44</f>
        <v>0.9934486902373415</v>
      </c>
      <c r="AJ17" s="287">
        <f>'Ingresos&amp;Compensaciones'!N45</f>
        <v>0.99336578184663871</v>
      </c>
      <c r="AK17" s="287">
        <f>'Ingresos&amp;Compensaciones'!N46</f>
        <v>0.99328768425571878</v>
      </c>
      <c r="AL17" s="287">
        <f>'Ingresos&amp;Compensaciones'!N47</f>
        <v>0.99321389998308141</v>
      </c>
      <c r="AM17" s="287">
        <f>'Ingresos&amp;Compensaciones'!N48</f>
        <v>0.99314400348146847</v>
      </c>
      <c r="AN17" s="287">
        <f>'Ingresos&amp;Compensaciones'!N49</f>
        <v>0.99307762803596555</v>
      </c>
      <c r="AO17" s="287">
        <f>'Ingresos&amp;Compensaciones'!N50</f>
        <v>0.99301445549850509</v>
      </c>
      <c r="AP17" s="287">
        <f>'Ingresos&amp;Compensaciones'!N51</f>
        <v>0.9929542081552466</v>
      </c>
      <c r="AQ17" s="287">
        <f>'Ingresos&amp;Compensaciones'!N52</f>
        <v>0.99289664221826379</v>
      </c>
      <c r="AR17" s="287">
        <f>'Ingresos&amp;Compensaciones'!N53</f>
        <v>0.99284154256864454</v>
      </c>
      <c r="AS17" s="287">
        <f>'Ingresos&amp;Compensaciones'!N54</f>
        <v>0.99278871847404371</v>
      </c>
      <c r="AT17" s="287">
        <f>'Ingresos&amp;Compensaciones'!N55</f>
        <v>0.99273800007248925</v>
      </c>
      <c r="AU17" s="287">
        <f>'Ingresos&amp;Compensaciones'!N56</f>
        <v>0.99268923546423249</v>
      </c>
      <c r="AV17" s="287">
        <f>'Ingresos&amp;Compensaciones'!N58</f>
        <v>0.99259703570259517</v>
      </c>
      <c r="AW17" s="287">
        <f>'Ingresos&amp;Compensaciones'!N59</f>
        <v>0.99255336665494676</v>
      </c>
      <c r="AX17" s="287">
        <f>'Ingresos&amp;Compensaciones'!N60</f>
        <v>0.99251118045203623</v>
      </c>
      <c r="AY17" s="287">
        <f>'Ingresos&amp;Compensaciones'!N61</f>
        <v>0.99247038551512956</v>
      </c>
      <c r="AZ17" s="287">
        <f>'Ingresos&amp;Compensaciones'!N62</f>
        <v>0.99243089832469844</v>
      </c>
      <c r="BA17" s="287">
        <f>'Ingresos&amp;Compensaciones'!N63</f>
        <v>0.99239264251121506</v>
      </c>
      <c r="BB17" s="287">
        <f>'Ingresos&amp;Compensaciones'!N64</f>
        <v>0.99235554806988224</v>
      </c>
    </row>
    <row r="18" spans="1:54" ht="15.75" thickBot="1" x14ac:dyDescent="0.3">
      <c r="A18" s="471" t="s">
        <v>217</v>
      </c>
      <c r="B18" s="472"/>
      <c r="C18" s="221"/>
      <c r="D18" s="221"/>
      <c r="E18" s="226">
        <f t="shared" ref="E18:AG18" si="18">E21/D21</f>
        <v>0.91386896568375975</v>
      </c>
      <c r="F18" s="226">
        <f t="shared" si="18"/>
        <v>0.65509818351903326</v>
      </c>
      <c r="G18" s="226">
        <f t="shared" si="18"/>
        <v>1.4965306753246497</v>
      </c>
      <c r="H18" s="226">
        <f t="shared" si="18"/>
        <v>0.76859565670625429</v>
      </c>
      <c r="I18" s="226">
        <f t="shared" si="18"/>
        <v>1.2332140234749003</v>
      </c>
      <c r="J18" s="226">
        <f t="shared" si="18"/>
        <v>1.018267247314955</v>
      </c>
      <c r="K18" s="226">
        <f t="shared" si="18"/>
        <v>1.4256019934608684</v>
      </c>
      <c r="L18" s="226">
        <f t="shared" si="18"/>
        <v>1.5470460713499039</v>
      </c>
      <c r="M18" s="226">
        <f t="shared" si="18"/>
        <v>1.6162129692357041</v>
      </c>
      <c r="N18" s="226">
        <f t="shared" si="18"/>
        <v>0.59940625501617328</v>
      </c>
      <c r="O18" s="226">
        <f t="shared" si="18"/>
        <v>1.2243905878138974</v>
      </c>
      <c r="P18" s="226">
        <f t="shared" si="18"/>
        <v>1.1362029662636455</v>
      </c>
      <c r="Q18" s="226">
        <f t="shared" si="18"/>
        <v>0.35555969547157723</v>
      </c>
      <c r="R18" s="226">
        <f t="shared" si="18"/>
        <v>0.65509818351903326</v>
      </c>
      <c r="S18" s="226">
        <f t="shared" si="18"/>
        <v>1.4965306753246497</v>
      </c>
      <c r="T18" s="226">
        <f t="shared" si="18"/>
        <v>0.76859565670625429</v>
      </c>
      <c r="U18" s="226">
        <f t="shared" si="18"/>
        <v>1.2332140234749003</v>
      </c>
      <c r="V18" s="226">
        <f t="shared" si="18"/>
        <v>1.018267247314955</v>
      </c>
      <c r="W18" s="226">
        <f t="shared" si="18"/>
        <v>1.4256019934608684</v>
      </c>
      <c r="X18" s="226">
        <f t="shared" si="18"/>
        <v>1.5470460713499039</v>
      </c>
      <c r="Y18" s="226">
        <f t="shared" si="18"/>
        <v>1.6162129692357041</v>
      </c>
      <c r="Z18" s="226">
        <f t="shared" si="18"/>
        <v>0.59940625501617328</v>
      </c>
      <c r="AA18" s="226">
        <f t="shared" si="18"/>
        <v>1.2243905878138974</v>
      </c>
      <c r="AB18" s="226">
        <f t="shared" si="18"/>
        <v>0.92368478778279839</v>
      </c>
      <c r="AC18" s="226">
        <f t="shared" si="18"/>
        <v>1.0246199892337093</v>
      </c>
      <c r="AD18" s="226">
        <f t="shared" si="18"/>
        <v>1.0218697936070906</v>
      </c>
      <c r="AE18" s="226">
        <f t="shared" si="18"/>
        <v>1.0196186129196274</v>
      </c>
      <c r="AF18" s="226">
        <f t="shared" si="18"/>
        <v>1.0177465248794915</v>
      </c>
      <c r="AG18" s="227">
        <f t="shared" si="18"/>
        <v>1.0161685027988741</v>
      </c>
      <c r="AH18" s="227">
        <f t="shared" ref="AH18:BB18" si="19">AH21/AG21</f>
        <v>1.0148227208812963</v>
      </c>
      <c r="AI18" s="227">
        <f t="shared" si="19"/>
        <v>1.0067840099973169</v>
      </c>
      <c r="AJ18" s="227">
        <f t="shared" si="19"/>
        <v>1.019574579358683</v>
      </c>
      <c r="AK18" s="227">
        <f t="shared" si="19"/>
        <v>1.0117719359108435</v>
      </c>
      <c r="AL18" s="227">
        <f t="shared" si="19"/>
        <v>1.0109923721482026</v>
      </c>
      <c r="AM18" s="227">
        <f t="shared" si="19"/>
        <v>1.0102999515831879</v>
      </c>
      <c r="AN18" s="227">
        <f t="shared" si="19"/>
        <v>1.0096813709463692</v>
      </c>
      <c r="AO18" s="227">
        <f t="shared" si="19"/>
        <v>1.0091258513394947</v>
      </c>
      <c r="AP18" s="227">
        <f t="shared" si="19"/>
        <v>1.0086245736814929</v>
      </c>
      <c r="AQ18" s="227">
        <f t="shared" si="19"/>
        <v>1.0081702579711707</v>
      </c>
      <c r="AR18" s="227">
        <f t="shared" si="19"/>
        <v>1.0077568456091175</v>
      </c>
      <c r="AS18" s="227">
        <f t="shared" si="19"/>
        <v>1.0073792566495476</v>
      </c>
      <c r="AT18" s="227">
        <f t="shared" si="19"/>
        <v>1.0070332022639672</v>
      </c>
      <c r="AU18" s="227">
        <f t="shared" si="19"/>
        <v>1.006715038383851</v>
      </c>
      <c r="AV18" s="227">
        <f t="shared" si="19"/>
        <v>1.0126115074813642</v>
      </c>
      <c r="AW18" s="227">
        <f t="shared" si="19"/>
        <v>1.0058988596856691</v>
      </c>
      <c r="AX18" s="227">
        <f t="shared" si="19"/>
        <v>1.0056651376475445</v>
      </c>
      <c r="AY18" s="227">
        <f t="shared" si="19"/>
        <v>1.0054474455747524</v>
      </c>
      <c r="AZ18" s="227">
        <f t="shared" si="19"/>
        <v>1.005244251284108</v>
      </c>
      <c r="BA18" s="227">
        <f t="shared" si="19"/>
        <v>1.005054207900022</v>
      </c>
      <c r="BB18" s="227">
        <f t="shared" si="19"/>
        <v>1.0048761270109241</v>
      </c>
    </row>
    <row r="19" spans="1:54" ht="30" x14ac:dyDescent="0.25">
      <c r="A19" s="618" t="s">
        <v>622</v>
      </c>
      <c r="B19" s="619" t="s">
        <v>127</v>
      </c>
      <c r="C19" s="265"/>
      <c r="D19" s="218">
        <f>D24/D25*D11</f>
        <v>0</v>
      </c>
      <c r="E19" s="218">
        <f t="shared" ref="E19:K19" si="20">E24/E25*E11</f>
        <v>0</v>
      </c>
      <c r="F19" s="218">
        <f t="shared" si="20"/>
        <v>0</v>
      </c>
      <c r="G19" s="218">
        <f t="shared" si="20"/>
        <v>0</v>
      </c>
      <c r="H19" s="218">
        <f t="shared" si="20"/>
        <v>0</v>
      </c>
      <c r="I19" s="218">
        <f t="shared" si="20"/>
        <v>0</v>
      </c>
      <c r="J19" s="218">
        <f t="shared" si="20"/>
        <v>0</v>
      </c>
      <c r="K19" s="218">
        <f t="shared" si="20"/>
        <v>0</v>
      </c>
      <c r="L19" s="218"/>
      <c r="M19" s="218"/>
      <c r="N19" s="218">
        <v>11225757</v>
      </c>
      <c r="O19" s="218"/>
      <c r="P19" s="218">
        <f>P24/P25*P11</f>
        <v>35763496.03835018</v>
      </c>
      <c r="Q19" s="218">
        <f>Q24/Q25*Q11</f>
        <v>19538589.171441175</v>
      </c>
      <c r="R19" s="218">
        <f t="shared" ref="R19:AG19" si="21">R24/R25*R11</f>
        <v>0</v>
      </c>
      <c r="S19" s="218">
        <f t="shared" si="21"/>
        <v>21904261.198114898</v>
      </c>
      <c r="T19" s="218">
        <f t="shared" si="21"/>
        <v>5933556.0760038411</v>
      </c>
      <c r="U19" s="218">
        <f t="shared" si="21"/>
        <v>21720511.422431041</v>
      </c>
      <c r="V19" s="218">
        <f t="shared" si="21"/>
        <v>25342536.190433234</v>
      </c>
      <c r="W19" s="218">
        <f t="shared" si="21"/>
        <v>69384434.215960935</v>
      </c>
      <c r="X19" s="218">
        <f t="shared" si="21"/>
        <v>159296963.60851613</v>
      </c>
      <c r="Y19" s="218">
        <f t="shared" si="21"/>
        <v>333029389.05337209</v>
      </c>
      <c r="Z19" s="218">
        <f t="shared" si="21"/>
        <v>181400462.5727222</v>
      </c>
      <c r="AA19" s="218">
        <f t="shared" si="21"/>
        <v>265177097.29391229</v>
      </c>
      <c r="AB19" s="218">
        <f t="shared" si="21"/>
        <v>259295352.4487786</v>
      </c>
      <c r="AC19" s="218">
        <f t="shared" si="21"/>
        <v>293256648.49959576</v>
      </c>
      <c r="AD19" s="218">
        <f t="shared" si="21"/>
        <v>330312692.03305745</v>
      </c>
      <c r="AE19" s="218">
        <f t="shared" si="21"/>
        <v>370821015.76737106</v>
      </c>
      <c r="AF19" s="218">
        <f t="shared" si="21"/>
        <v>415162655.26886904</v>
      </c>
      <c r="AG19" s="218">
        <f t="shared" si="21"/>
        <v>463747267.66443777</v>
      </c>
      <c r="AH19" s="218">
        <f t="shared" ref="AH19:BB19" si="22">AH24/AH25*AH11</f>
        <v>517017868.99276435</v>
      </c>
      <c r="AI19" s="218">
        <f t="shared" si="22"/>
        <v>570168179.25794029</v>
      </c>
      <c r="AJ19" s="218">
        <f t="shared" si="22"/>
        <v>639583650.26541185</v>
      </c>
      <c r="AK19" s="218">
        <f t="shared" si="22"/>
        <v>709973595.99855411</v>
      </c>
      <c r="AL19" s="218">
        <f t="shared" si="22"/>
        <v>787249027.50905752</v>
      </c>
      <c r="AM19" s="218">
        <f t="shared" si="22"/>
        <v>872091763.99055982</v>
      </c>
      <c r="AN19" s="218">
        <f t="shared" si="22"/>
        <v>965247593.70914543</v>
      </c>
      <c r="AO19" s="218">
        <f t="shared" si="22"/>
        <v>1067532648.6628504</v>
      </c>
      <c r="AP19" s="218">
        <f t="shared" si="22"/>
        <v>1179840328.7028668</v>
      </c>
      <c r="AQ19" s="218">
        <f t="shared" si="22"/>
        <v>1303148840.2610791</v>
      </c>
      <c r="AR19" s="218">
        <f t="shared" si="22"/>
        <v>1438529417.4830325</v>
      </c>
      <c r="AS19" s="218">
        <f t="shared" si="22"/>
        <v>1587155297.4827304</v>
      </c>
      <c r="AT19" s="218">
        <f t="shared" si="22"/>
        <v>1750311526.4256175</v>
      </c>
      <c r="AU19" s="218">
        <f t="shared" si="22"/>
        <v>1929405679.0787759</v>
      </c>
      <c r="AV19" s="218">
        <f t="shared" si="22"/>
        <v>2143021131.5703821</v>
      </c>
      <c r="AW19" s="218">
        <f t="shared" si="22"/>
        <v>2359692142.3883328</v>
      </c>
      <c r="AX19" s="218">
        <f t="shared" si="22"/>
        <v>574844.67586454691</v>
      </c>
      <c r="AY19" s="218">
        <f t="shared" si="22"/>
        <v>615352.18297742982</v>
      </c>
      <c r="AZ19" s="218">
        <f t="shared" si="22"/>
        <v>658534.69034217624</v>
      </c>
      <c r="BA19" s="218">
        <f t="shared" si="22"/>
        <v>704568.33358639933</v>
      </c>
      <c r="BB19" s="218">
        <f t="shared" si="22"/>
        <v>753640.58161404554</v>
      </c>
    </row>
    <row r="20" spans="1:54" ht="3.75" customHeight="1" x14ac:dyDescent="0.25">
      <c r="A20" s="620"/>
      <c r="B20" s="621"/>
      <c r="C20" s="223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</row>
    <row r="21" spans="1:54" x14ac:dyDescent="0.25">
      <c r="A21" s="493" t="s">
        <v>207</v>
      </c>
      <c r="B21" s="494"/>
      <c r="C21" s="266"/>
      <c r="D21" s="215">
        <f>(1-'Ingresos&amp;Compensaciones'!M26)*C25</f>
        <v>24.182856000000015</v>
      </c>
      <c r="E21" s="215">
        <f>(1-'Ingresos&amp;Compensaciones'!N26)*D25</f>
        <v>22.099961599999318</v>
      </c>
      <c r="F21" s="215">
        <f>(1-'Ingresos&amp;Compensaciones'!N27)*D25</f>
        <v>14.477644699999942</v>
      </c>
      <c r="G21" s="215">
        <f>(1-'Ingresos&amp;Compensaciones'!N28)*D25</f>
        <v>21.666239400001249</v>
      </c>
      <c r="H21" s="215">
        <f>(1-'Ingresos&amp;Compensaciones'!N29)*D25</f>
        <v>16.65257749999888</v>
      </c>
      <c r="I21" s="215">
        <f>(1-'Ingresos&amp;Compensaciones'!N30)*D25</f>
        <v>20.536192100001216</v>
      </c>
      <c r="J21" s="215">
        <f>(1-'Ingresos&amp;Compensaciones'!N31)*D25</f>
        <v>20.911331799999363</v>
      </c>
      <c r="K21" s="215">
        <f>(1-'Ingresos&amp;Compensaciones'!N32)*D25</f>
        <v>29.81123630000074</v>
      </c>
      <c r="L21" s="215">
        <f>(1-'Ingresos&amp;Compensaciones'!N33)*D25</f>
        <v>46.11935599999979</v>
      </c>
      <c r="M21" s="215">
        <f>(1-'Ingresos&amp;Compensaciones'!N34)*D25</f>
        <v>74.538701299998152</v>
      </c>
      <c r="N21" s="215">
        <f>(1-'Ingresos&amp;Compensaciones'!N35)*D25</f>
        <v>44.678963800001057</v>
      </c>
      <c r="O21" s="215">
        <f>(1-'Ingresos&amp;Compensaciones'!N36)*D25</f>
        <v>54.704502749999136</v>
      </c>
      <c r="P21" s="109">
        <f>O21*P17</f>
        <v>62.155418292526768</v>
      </c>
      <c r="Q21" s="109">
        <f>(1-Q17)*Q25</f>
        <v>22.099961599999318</v>
      </c>
      <c r="R21" s="109">
        <f>(1-R17)*R25</f>
        <v>14.477644699999942</v>
      </c>
      <c r="S21" s="109">
        <f t="shared" ref="S21:AG21" si="23">(1-S17)*S25</f>
        <v>21.666239400001249</v>
      </c>
      <c r="T21" s="109">
        <f t="shared" si="23"/>
        <v>16.65257749999888</v>
      </c>
      <c r="U21" s="109">
        <f t="shared" si="23"/>
        <v>20.536192100001216</v>
      </c>
      <c r="V21" s="109">
        <f t="shared" si="23"/>
        <v>20.911331799999363</v>
      </c>
      <c r="W21" s="109">
        <f t="shared" si="23"/>
        <v>29.81123630000074</v>
      </c>
      <c r="X21" s="109">
        <f t="shared" si="23"/>
        <v>46.11935599999979</v>
      </c>
      <c r="Y21" s="109">
        <f t="shared" si="23"/>
        <v>74.538701299998152</v>
      </c>
      <c r="Z21" s="109">
        <f t="shared" si="23"/>
        <v>44.678963800001057</v>
      </c>
      <c r="AA21" s="109">
        <f t="shared" si="23"/>
        <v>54.704502749999136</v>
      </c>
      <c r="AB21" s="109">
        <f t="shared" si="23"/>
        <v>50.529717013396464</v>
      </c>
      <c r="AC21" s="109">
        <f t="shared" si="23"/>
        <v>51.773758102248664</v>
      </c>
      <c r="AD21" s="109">
        <f t="shared" si="23"/>
        <v>52.906039506208273</v>
      </c>
      <c r="AE21" s="109">
        <f t="shared" si="23"/>
        <v>53.943982616391089</v>
      </c>
      <c r="AF21" s="109">
        <f t="shared" si="23"/>
        <v>54.901300845991727</v>
      </c>
      <c r="AG21" s="109">
        <f t="shared" si="23"/>
        <v>55.788972682381967</v>
      </c>
      <c r="AH21" s="109">
        <f t="shared" ref="AH21:BB21" si="24">(1-AH17)*AH25</f>
        <v>56.615917052707175</v>
      </c>
      <c r="AI21" s="109">
        <v>57</v>
      </c>
      <c r="AJ21" s="109">
        <f t="shared" si="24"/>
        <v>58.115751023444929</v>
      </c>
      <c r="AK21" s="109">
        <f t="shared" si="24"/>
        <v>58.79988591990346</v>
      </c>
      <c r="AL21" s="109">
        <f t="shared" si="24"/>
        <v>59.446236148206893</v>
      </c>
      <c r="AM21" s="109">
        <f t="shared" si="24"/>
        <v>60.058529502336171</v>
      </c>
      <c r="AN21" s="109">
        <f t="shared" si="24"/>
        <v>60.639978404941751</v>
      </c>
      <c r="AO21" s="109">
        <f t="shared" si="24"/>
        <v>61.193369833095424</v>
      </c>
      <c r="AP21" s="109">
        <f t="shared" si="24"/>
        <v>61.721136560039803</v>
      </c>
      <c r="AQ21" s="109">
        <f t="shared" si="24"/>
        <v>62.225414168009181</v>
      </c>
      <c r="AR21" s="109">
        <f t="shared" si="24"/>
        <v>62.708087098673815</v>
      </c>
      <c r="AS21" s="109">
        <f t="shared" si="24"/>
        <v>63.170826167377122</v>
      </c>
      <c r="AT21" s="109">
        <f t="shared" si="24"/>
        <v>63.6151193649942</v>
      </c>
      <c r="AU21" s="109">
        <f t="shared" si="24"/>
        <v>64.042297333323404</v>
      </c>
      <c r="AV21" s="109">
        <f t="shared" si="24"/>
        <v>64.849967245266356</v>
      </c>
      <c r="AW21" s="109">
        <f t="shared" si="24"/>
        <v>65.232508102666415</v>
      </c>
      <c r="AX21" s="109">
        <f t="shared" si="24"/>
        <v>65.602059240162589</v>
      </c>
      <c r="AY21" s="109">
        <f t="shared" si="24"/>
        <v>65.959422887465053</v>
      </c>
      <c r="AZ21" s="109">
        <f t="shared" si="24"/>
        <v>66.305330675641656</v>
      </c>
      <c r="BA21" s="109">
        <f t="shared" si="24"/>
        <v>66.640451601756055</v>
      </c>
      <c r="BB21" s="109">
        <f t="shared" si="24"/>
        <v>66.965398907831556</v>
      </c>
    </row>
    <row r="22" spans="1:54" x14ac:dyDescent="0.25">
      <c r="A22" s="493" t="s">
        <v>208</v>
      </c>
      <c r="B22" s="494"/>
      <c r="C22" s="266">
        <v>48</v>
      </c>
      <c r="D22" s="109">
        <v>48</v>
      </c>
      <c r="E22" s="109">
        <v>48</v>
      </c>
      <c r="F22" s="109">
        <v>48</v>
      </c>
      <c r="G22" s="109">
        <v>48</v>
      </c>
      <c r="H22" s="109">
        <v>48</v>
      </c>
      <c r="I22" s="109">
        <v>48</v>
      </c>
      <c r="J22" s="109">
        <v>48</v>
      </c>
      <c r="K22" s="109">
        <v>48</v>
      </c>
      <c r="L22" s="109">
        <v>48</v>
      </c>
      <c r="M22" s="109">
        <v>48</v>
      </c>
      <c r="N22" s="109">
        <v>48</v>
      </c>
      <c r="O22" s="109">
        <v>48</v>
      </c>
      <c r="P22" s="109">
        <v>48</v>
      </c>
      <c r="Q22" s="109">
        <v>15</v>
      </c>
      <c r="R22" s="109">
        <v>15</v>
      </c>
      <c r="S22" s="109">
        <v>15</v>
      </c>
      <c r="T22" s="109">
        <v>15</v>
      </c>
      <c r="U22" s="109">
        <v>15</v>
      </c>
      <c r="V22" s="109">
        <v>15</v>
      </c>
      <c r="W22" s="109">
        <v>15</v>
      </c>
      <c r="X22" s="109">
        <v>15</v>
      </c>
      <c r="Y22" s="109">
        <v>15</v>
      </c>
      <c r="Z22" s="109">
        <v>15</v>
      </c>
      <c r="AA22" s="109">
        <v>15</v>
      </c>
      <c r="AB22" s="109">
        <v>15</v>
      </c>
      <c r="AC22" s="109">
        <v>15</v>
      </c>
      <c r="AD22" s="109">
        <v>15</v>
      </c>
      <c r="AE22" s="109">
        <v>15</v>
      </c>
      <c r="AF22" s="109">
        <v>15</v>
      </c>
      <c r="AG22" s="220">
        <v>15</v>
      </c>
      <c r="AH22" s="220">
        <v>15</v>
      </c>
      <c r="AI22" s="220">
        <v>15</v>
      </c>
      <c r="AJ22" s="220">
        <v>15</v>
      </c>
      <c r="AK22" s="220">
        <v>15</v>
      </c>
      <c r="AL22" s="220">
        <v>15</v>
      </c>
      <c r="AM22" s="220">
        <v>15</v>
      </c>
      <c r="AN22" s="220">
        <v>15</v>
      </c>
      <c r="AO22" s="220">
        <v>15</v>
      </c>
      <c r="AP22" s="220">
        <v>15</v>
      </c>
      <c r="AQ22" s="220">
        <v>15</v>
      </c>
      <c r="AR22" s="220">
        <v>15</v>
      </c>
      <c r="AS22" s="220">
        <v>15</v>
      </c>
      <c r="AT22" s="220">
        <v>15</v>
      </c>
      <c r="AU22" s="220">
        <v>15</v>
      </c>
      <c r="AV22" s="220">
        <v>15</v>
      </c>
      <c r="AW22" s="220">
        <v>15</v>
      </c>
      <c r="AX22" s="220">
        <v>15</v>
      </c>
      <c r="AY22" s="220">
        <v>15</v>
      </c>
      <c r="AZ22" s="220">
        <v>15</v>
      </c>
      <c r="BA22" s="220">
        <v>15</v>
      </c>
      <c r="BB22" s="220">
        <v>15</v>
      </c>
    </row>
    <row r="23" spans="1:54" x14ac:dyDescent="0.25">
      <c r="A23" s="493" t="s">
        <v>209</v>
      </c>
      <c r="B23" s="494"/>
      <c r="C23" s="266"/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  <c r="S23" s="109">
        <v>0</v>
      </c>
      <c r="T23" s="109">
        <v>0</v>
      </c>
      <c r="U23" s="109">
        <v>0</v>
      </c>
      <c r="V23" s="109">
        <v>0</v>
      </c>
      <c r="W23" s="109">
        <v>0</v>
      </c>
      <c r="X23" s="109">
        <v>0</v>
      </c>
      <c r="Y23" s="109">
        <v>0</v>
      </c>
      <c r="Z23" s="109">
        <v>0</v>
      </c>
      <c r="AA23" s="109">
        <v>0</v>
      </c>
      <c r="AB23" s="109">
        <v>0</v>
      </c>
      <c r="AC23" s="109">
        <v>0</v>
      </c>
      <c r="AD23" s="109">
        <v>0</v>
      </c>
      <c r="AE23" s="109">
        <v>0</v>
      </c>
      <c r="AF23" s="109">
        <v>0</v>
      </c>
      <c r="AG23" s="220">
        <v>0</v>
      </c>
      <c r="AH23" s="220">
        <v>0</v>
      </c>
      <c r="AI23" s="220">
        <v>0</v>
      </c>
      <c r="AJ23" s="220">
        <v>0</v>
      </c>
      <c r="AK23" s="220">
        <v>0</v>
      </c>
      <c r="AL23" s="220">
        <v>0</v>
      </c>
      <c r="AM23" s="220">
        <v>0</v>
      </c>
      <c r="AN23" s="220">
        <v>0</v>
      </c>
      <c r="AO23" s="220">
        <v>0</v>
      </c>
      <c r="AP23" s="220">
        <v>0</v>
      </c>
      <c r="AQ23" s="220">
        <v>0</v>
      </c>
      <c r="AR23" s="220">
        <v>0</v>
      </c>
      <c r="AS23" s="220">
        <v>0</v>
      </c>
      <c r="AT23" s="220">
        <v>0</v>
      </c>
      <c r="AU23" s="220">
        <v>0</v>
      </c>
      <c r="AV23" s="220">
        <v>0</v>
      </c>
      <c r="AW23" s="220">
        <v>0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</row>
    <row r="24" spans="1:54" x14ac:dyDescent="0.25">
      <c r="A24" s="493" t="s">
        <v>210</v>
      </c>
      <c r="B24" s="494"/>
      <c r="C24" s="267">
        <f>+MAX(0,C21-C22-C23)</f>
        <v>0</v>
      </c>
      <c r="D24" s="216">
        <f>+MAX(0,D21-D22-D23)</f>
        <v>0</v>
      </c>
      <c r="E24" s="216">
        <f t="shared" ref="E24:O24" si="25">+MAX(0,E21-E22-E23)</f>
        <v>0</v>
      </c>
      <c r="F24" s="216">
        <f t="shared" si="25"/>
        <v>0</v>
      </c>
      <c r="G24" s="216">
        <f t="shared" si="25"/>
        <v>0</v>
      </c>
      <c r="H24" s="216">
        <f t="shared" si="25"/>
        <v>0</v>
      </c>
      <c r="I24" s="216">
        <f t="shared" si="25"/>
        <v>0</v>
      </c>
      <c r="J24" s="216">
        <f t="shared" si="25"/>
        <v>0</v>
      </c>
      <c r="K24" s="216">
        <f t="shared" si="25"/>
        <v>0</v>
      </c>
      <c r="L24" s="216">
        <f t="shared" si="25"/>
        <v>0</v>
      </c>
      <c r="M24" s="216">
        <f t="shared" si="25"/>
        <v>26.538701299998152</v>
      </c>
      <c r="N24" s="216">
        <f t="shared" si="25"/>
        <v>0</v>
      </c>
      <c r="O24" s="216">
        <f t="shared" si="25"/>
        <v>6.7045027499991363</v>
      </c>
      <c r="P24" s="216">
        <f t="shared" ref="P24:AG24" si="26">+MAX(0,P21-P22-P23)</f>
        <v>14.155418292526768</v>
      </c>
      <c r="Q24" s="216">
        <f t="shared" si="26"/>
        <v>7.0999615999993182</v>
      </c>
      <c r="R24" s="216">
        <f t="shared" si="26"/>
        <v>0</v>
      </c>
      <c r="S24" s="216">
        <f t="shared" si="26"/>
        <v>6.666239400001249</v>
      </c>
      <c r="T24" s="216">
        <f t="shared" si="26"/>
        <v>1.6525774999988805</v>
      </c>
      <c r="U24" s="216">
        <f t="shared" si="26"/>
        <v>5.536192100001216</v>
      </c>
      <c r="V24" s="216">
        <f t="shared" si="26"/>
        <v>5.9113317999993633</v>
      </c>
      <c r="W24" s="216">
        <f t="shared" si="26"/>
        <v>14.81123630000074</v>
      </c>
      <c r="X24" s="216">
        <f t="shared" si="26"/>
        <v>31.11935599999979</v>
      </c>
      <c r="Y24" s="216">
        <f t="shared" si="26"/>
        <v>59.538701299998152</v>
      </c>
      <c r="Z24" s="216">
        <f t="shared" si="26"/>
        <v>29.678963800001057</v>
      </c>
      <c r="AA24" s="216">
        <f t="shared" si="26"/>
        <v>39.704502749999136</v>
      </c>
      <c r="AB24" s="216">
        <f t="shared" si="26"/>
        <v>35.529717013396464</v>
      </c>
      <c r="AC24" s="216">
        <f t="shared" si="26"/>
        <v>36.773758102248664</v>
      </c>
      <c r="AD24" s="216">
        <f t="shared" si="26"/>
        <v>37.906039506208273</v>
      </c>
      <c r="AE24" s="216">
        <f t="shared" si="26"/>
        <v>38.943982616391089</v>
      </c>
      <c r="AF24" s="216">
        <f t="shared" si="26"/>
        <v>39.901300845991727</v>
      </c>
      <c r="AG24" s="268">
        <f t="shared" si="26"/>
        <v>40.788972682381967</v>
      </c>
      <c r="AH24" s="268">
        <f t="shared" ref="AH24:BB24" si="27">+MAX(0,AH21-AH22-AH23)</f>
        <v>41.615917052707175</v>
      </c>
      <c r="AI24" s="268">
        <f t="shared" si="27"/>
        <v>42</v>
      </c>
      <c r="AJ24" s="268">
        <f t="shared" si="27"/>
        <v>43.115751023444929</v>
      </c>
      <c r="AK24" s="268">
        <f t="shared" si="27"/>
        <v>43.79988591990346</v>
      </c>
      <c r="AL24" s="268">
        <f t="shared" si="27"/>
        <v>44.446236148206893</v>
      </c>
      <c r="AM24" s="268">
        <f t="shared" si="27"/>
        <v>45.058529502336171</v>
      </c>
      <c r="AN24" s="268">
        <f t="shared" si="27"/>
        <v>45.639978404941751</v>
      </c>
      <c r="AO24" s="268">
        <f t="shared" si="27"/>
        <v>46.193369833095424</v>
      </c>
      <c r="AP24" s="268">
        <f t="shared" si="27"/>
        <v>46.721136560039803</v>
      </c>
      <c r="AQ24" s="268">
        <f t="shared" si="27"/>
        <v>47.225414168009181</v>
      </c>
      <c r="AR24" s="268">
        <f t="shared" si="27"/>
        <v>47.708087098673815</v>
      </c>
      <c r="AS24" s="268">
        <f t="shared" si="27"/>
        <v>48.170826167377122</v>
      </c>
      <c r="AT24" s="268">
        <f t="shared" si="27"/>
        <v>48.6151193649942</v>
      </c>
      <c r="AU24" s="268">
        <f t="shared" si="27"/>
        <v>49.042297333323404</v>
      </c>
      <c r="AV24" s="268">
        <f t="shared" si="27"/>
        <v>49.849967245266356</v>
      </c>
      <c r="AW24" s="268">
        <f t="shared" si="27"/>
        <v>50.232508102666415</v>
      </c>
      <c r="AX24" s="268">
        <f t="shared" si="27"/>
        <v>50.602059240162589</v>
      </c>
      <c r="AY24" s="268">
        <f t="shared" si="27"/>
        <v>50.959422887465053</v>
      </c>
      <c r="AZ24" s="268">
        <f t="shared" si="27"/>
        <v>51.305330675641656</v>
      </c>
      <c r="BA24" s="268">
        <f t="shared" si="27"/>
        <v>51.640451601756055</v>
      </c>
      <c r="BB24" s="268">
        <f t="shared" si="27"/>
        <v>51.965398907831556</v>
      </c>
    </row>
    <row r="25" spans="1:54" ht="15.75" thickBot="1" x14ac:dyDescent="0.3">
      <c r="A25" s="495" t="s">
        <v>211</v>
      </c>
      <c r="B25" s="496"/>
      <c r="C25" s="269">
        <f>365*24</f>
        <v>8760</v>
      </c>
      <c r="D25" s="221">
        <f>365*24</f>
        <v>8760</v>
      </c>
      <c r="E25" s="221">
        <f t="shared" ref="E25:BB25" si="28">365*24</f>
        <v>8760</v>
      </c>
      <c r="F25" s="221">
        <f t="shared" si="28"/>
        <v>8760</v>
      </c>
      <c r="G25" s="221">
        <f t="shared" si="28"/>
        <v>8760</v>
      </c>
      <c r="H25" s="221">
        <f t="shared" si="28"/>
        <v>8760</v>
      </c>
      <c r="I25" s="221">
        <f t="shared" si="28"/>
        <v>8760</v>
      </c>
      <c r="J25" s="221">
        <f t="shared" si="28"/>
        <v>8760</v>
      </c>
      <c r="K25" s="221">
        <f t="shared" si="28"/>
        <v>8760</v>
      </c>
      <c r="L25" s="221">
        <f t="shared" si="28"/>
        <v>8760</v>
      </c>
      <c r="M25" s="221">
        <f t="shared" si="28"/>
        <v>8760</v>
      </c>
      <c r="N25" s="221">
        <f t="shared" si="28"/>
        <v>8760</v>
      </c>
      <c r="O25" s="221">
        <f t="shared" si="28"/>
        <v>8760</v>
      </c>
      <c r="P25" s="221">
        <f t="shared" si="28"/>
        <v>8760</v>
      </c>
      <c r="Q25" s="221">
        <f t="shared" si="28"/>
        <v>8760</v>
      </c>
      <c r="R25" s="221">
        <f t="shared" si="28"/>
        <v>8760</v>
      </c>
      <c r="S25" s="221">
        <f t="shared" si="28"/>
        <v>8760</v>
      </c>
      <c r="T25" s="221">
        <f t="shared" si="28"/>
        <v>8760</v>
      </c>
      <c r="U25" s="221">
        <f t="shared" si="28"/>
        <v>8760</v>
      </c>
      <c r="V25" s="221">
        <f t="shared" si="28"/>
        <v>8760</v>
      </c>
      <c r="W25" s="221">
        <f t="shared" si="28"/>
        <v>8760</v>
      </c>
      <c r="X25" s="221">
        <f t="shared" si="28"/>
        <v>8760</v>
      </c>
      <c r="Y25" s="221">
        <f t="shared" si="28"/>
        <v>8760</v>
      </c>
      <c r="Z25" s="221">
        <f t="shared" si="28"/>
        <v>8760</v>
      </c>
      <c r="AA25" s="221">
        <f t="shared" si="28"/>
        <v>8760</v>
      </c>
      <c r="AB25" s="221">
        <f t="shared" si="28"/>
        <v>8760</v>
      </c>
      <c r="AC25" s="221">
        <f t="shared" si="28"/>
        <v>8760</v>
      </c>
      <c r="AD25" s="221">
        <f t="shared" si="28"/>
        <v>8760</v>
      </c>
      <c r="AE25" s="221">
        <f t="shared" si="28"/>
        <v>8760</v>
      </c>
      <c r="AF25" s="221">
        <f t="shared" si="28"/>
        <v>8760</v>
      </c>
      <c r="AG25" s="222">
        <f t="shared" si="28"/>
        <v>8760</v>
      </c>
      <c r="AH25" s="222">
        <f t="shared" si="28"/>
        <v>8760</v>
      </c>
      <c r="AI25" s="222">
        <f t="shared" si="28"/>
        <v>8760</v>
      </c>
      <c r="AJ25" s="222">
        <f t="shared" si="28"/>
        <v>8760</v>
      </c>
      <c r="AK25" s="222">
        <f t="shared" si="28"/>
        <v>8760</v>
      </c>
      <c r="AL25" s="222">
        <f t="shared" si="28"/>
        <v>8760</v>
      </c>
      <c r="AM25" s="222">
        <f t="shared" si="28"/>
        <v>8760</v>
      </c>
      <c r="AN25" s="222">
        <f t="shared" si="28"/>
        <v>8760</v>
      </c>
      <c r="AO25" s="222">
        <f t="shared" si="28"/>
        <v>8760</v>
      </c>
      <c r="AP25" s="222">
        <f t="shared" si="28"/>
        <v>8760</v>
      </c>
      <c r="AQ25" s="222">
        <f t="shared" si="28"/>
        <v>8760</v>
      </c>
      <c r="AR25" s="222">
        <f t="shared" si="28"/>
        <v>8760</v>
      </c>
      <c r="AS25" s="222">
        <f t="shared" si="28"/>
        <v>8760</v>
      </c>
      <c r="AT25" s="222">
        <f t="shared" si="28"/>
        <v>8760</v>
      </c>
      <c r="AU25" s="222">
        <f t="shared" si="28"/>
        <v>8760</v>
      </c>
      <c r="AV25" s="222">
        <f t="shared" si="28"/>
        <v>8760</v>
      </c>
      <c r="AW25" s="222">
        <f t="shared" si="28"/>
        <v>8760</v>
      </c>
      <c r="AX25" s="222">
        <f t="shared" si="28"/>
        <v>8760</v>
      </c>
      <c r="AY25" s="222">
        <f t="shared" si="28"/>
        <v>8760</v>
      </c>
      <c r="AZ25" s="222">
        <f t="shared" si="28"/>
        <v>8760</v>
      </c>
      <c r="BA25" s="222">
        <f t="shared" si="28"/>
        <v>8760</v>
      </c>
      <c r="BB25" s="222">
        <f t="shared" si="28"/>
        <v>8760</v>
      </c>
    </row>
    <row r="26" spans="1:54" ht="15.75" thickBot="1" x14ac:dyDescent="0.3">
      <c r="A26" s="481"/>
      <c r="B26" s="482"/>
      <c r="E26" s="2"/>
    </row>
    <row r="27" spans="1:54" x14ac:dyDescent="0.25">
      <c r="A27" s="483" t="s">
        <v>40</v>
      </c>
      <c r="B27" s="484"/>
      <c r="C27" s="270">
        <v>1873.77</v>
      </c>
      <c r="D27" s="271">
        <v>2229.1799999999998</v>
      </c>
      <c r="E27" s="271">
        <v>2291.1799999999998</v>
      </c>
      <c r="F27" s="271">
        <v>2864.79</v>
      </c>
      <c r="G27" s="271">
        <v>2778.21</v>
      </c>
      <c r="H27" s="271">
        <v>2389.75</v>
      </c>
      <c r="I27" s="271">
        <v>2284.2199999999998</v>
      </c>
      <c r="J27" s="271">
        <v>2238.79</v>
      </c>
      <c r="K27" s="271">
        <v>2014.76</v>
      </c>
      <c r="L27" s="271">
        <v>2243.59</v>
      </c>
      <c r="M27" s="271">
        <v>2044.23</v>
      </c>
      <c r="N27" s="271">
        <v>1913.98</v>
      </c>
      <c r="O27" s="271">
        <v>1942.7</v>
      </c>
      <c r="P27" s="271">
        <v>2000</v>
      </c>
      <c r="Q27" s="271">
        <v>2000</v>
      </c>
      <c r="R27" s="271">
        <v>2000</v>
      </c>
      <c r="S27" s="271">
        <v>2000</v>
      </c>
      <c r="T27" s="271">
        <v>2000</v>
      </c>
      <c r="U27" s="271">
        <v>2000</v>
      </c>
      <c r="V27" s="271">
        <v>2000</v>
      </c>
      <c r="W27" s="271">
        <v>2000</v>
      </c>
      <c r="X27" s="271">
        <v>2000</v>
      </c>
      <c r="Y27" s="271">
        <v>2000</v>
      </c>
      <c r="Z27" s="271">
        <v>2000</v>
      </c>
      <c r="AA27" s="271">
        <v>2000</v>
      </c>
      <c r="AB27" s="271">
        <v>2000</v>
      </c>
      <c r="AC27" s="271">
        <v>2000</v>
      </c>
      <c r="AD27" s="271">
        <v>2000</v>
      </c>
      <c r="AE27" s="271">
        <v>2000</v>
      </c>
      <c r="AF27" s="271">
        <v>2000</v>
      </c>
      <c r="AG27" s="272">
        <v>2000</v>
      </c>
      <c r="AH27" s="272">
        <v>2001</v>
      </c>
      <c r="AI27" s="272">
        <v>2002</v>
      </c>
      <c r="AJ27" s="272">
        <v>2003</v>
      </c>
      <c r="AK27" s="272">
        <v>2004</v>
      </c>
      <c r="AL27" s="272">
        <v>2005</v>
      </c>
      <c r="AM27" s="272">
        <v>2006</v>
      </c>
      <c r="AN27" s="272">
        <v>2007</v>
      </c>
      <c r="AO27" s="272">
        <v>2008</v>
      </c>
      <c r="AP27" s="272">
        <v>2009</v>
      </c>
      <c r="AQ27" s="272">
        <v>2010</v>
      </c>
      <c r="AR27" s="272">
        <v>2011</v>
      </c>
      <c r="AS27" s="272">
        <v>2012</v>
      </c>
      <c r="AT27" s="272">
        <v>2013</v>
      </c>
      <c r="AU27" s="272">
        <v>2014</v>
      </c>
      <c r="AV27" s="272">
        <v>2015</v>
      </c>
      <c r="AW27" s="272">
        <v>2016</v>
      </c>
      <c r="AX27" s="272">
        <v>2017</v>
      </c>
      <c r="AY27" s="272">
        <v>2018</v>
      </c>
      <c r="AZ27" s="272">
        <v>2019</v>
      </c>
      <c r="BA27" s="272">
        <v>2020</v>
      </c>
      <c r="BB27" s="272">
        <v>2021</v>
      </c>
    </row>
    <row r="28" spans="1:54" x14ac:dyDescent="0.25">
      <c r="A28" s="485" t="s">
        <v>124</v>
      </c>
      <c r="B28" s="486"/>
      <c r="C28" s="273">
        <v>0.12707030181135615</v>
      </c>
      <c r="D28" s="65">
        <v>0.11037796244808074</v>
      </c>
      <c r="E28" s="65">
        <v>6.9314831552369727E-2</v>
      </c>
      <c r="F28" s="65">
        <v>9.2804517672554709E-2</v>
      </c>
      <c r="G28" s="65">
        <v>5.7237211397626275E-2</v>
      </c>
      <c r="H28" s="65">
        <v>4.6404408001677444E-2</v>
      </c>
      <c r="I28" s="65">
        <v>2.0681259964665744E-2</v>
      </c>
      <c r="J28" s="65">
        <v>5.5413423847308296E-2</v>
      </c>
      <c r="K28" s="65">
        <v>1.2718241646591411E-2</v>
      </c>
      <c r="L28" s="65">
        <v>8.9958615541241738E-2</v>
      </c>
      <c r="M28" s="65">
        <v>-2.1833665519115697E-2</v>
      </c>
      <c r="N28" s="65">
        <v>4.3715846994535568E-2</v>
      </c>
      <c r="O28" s="65">
        <v>5.2001064868222535E-2</v>
      </c>
      <c r="P28" s="65">
        <v>0.03</v>
      </c>
      <c r="Q28" s="65">
        <v>0.03</v>
      </c>
      <c r="R28" s="65">
        <v>0.03</v>
      </c>
      <c r="S28" s="65">
        <v>0.03</v>
      </c>
      <c r="T28" s="65">
        <v>0.03</v>
      </c>
      <c r="U28" s="65">
        <v>0.03</v>
      </c>
      <c r="V28" s="65">
        <v>0.03</v>
      </c>
      <c r="W28" s="65">
        <v>0.03</v>
      </c>
      <c r="X28" s="65">
        <v>0.03</v>
      </c>
      <c r="Y28" s="65">
        <v>0.03</v>
      </c>
      <c r="Z28" s="65">
        <v>0.03</v>
      </c>
      <c r="AA28" s="65">
        <v>0.03</v>
      </c>
      <c r="AB28" s="65">
        <v>0.03</v>
      </c>
      <c r="AC28" s="65">
        <v>0.03</v>
      </c>
      <c r="AD28" s="65">
        <v>0.03</v>
      </c>
      <c r="AE28" s="65">
        <v>0.03</v>
      </c>
      <c r="AF28" s="65">
        <v>0.03</v>
      </c>
      <c r="AG28" s="159">
        <v>0.03</v>
      </c>
      <c r="AH28" s="159">
        <v>0.03</v>
      </c>
      <c r="AI28" s="159">
        <v>0.03</v>
      </c>
      <c r="AJ28" s="159">
        <v>0.03</v>
      </c>
      <c r="AK28" s="159">
        <v>0.03</v>
      </c>
      <c r="AL28" s="159">
        <v>0.03</v>
      </c>
      <c r="AM28" s="159">
        <v>0.03</v>
      </c>
      <c r="AN28" s="159">
        <v>0.03</v>
      </c>
      <c r="AO28" s="159">
        <v>0.03</v>
      </c>
      <c r="AP28" s="159">
        <v>0.03</v>
      </c>
      <c r="AQ28" s="159">
        <v>0.03</v>
      </c>
      <c r="AR28" s="159">
        <v>0.03</v>
      </c>
      <c r="AS28" s="159">
        <v>0.03</v>
      </c>
      <c r="AT28" s="159">
        <v>0.03</v>
      </c>
      <c r="AU28" s="159">
        <v>0.03</v>
      </c>
      <c r="AV28" s="159">
        <v>0.03</v>
      </c>
      <c r="AW28" s="159">
        <v>0.03</v>
      </c>
      <c r="AX28" s="159">
        <v>0.03</v>
      </c>
      <c r="AY28" s="159">
        <v>0.03</v>
      </c>
      <c r="AZ28" s="159">
        <v>0.03</v>
      </c>
      <c r="BA28" s="159">
        <v>0.03</v>
      </c>
      <c r="BB28" s="159">
        <v>0.03</v>
      </c>
    </row>
    <row r="29" spans="1:54" x14ac:dyDescent="0.25">
      <c r="A29" s="485" t="s">
        <v>125</v>
      </c>
      <c r="B29" s="486"/>
      <c r="C29" s="273">
        <v>9.2316999999999982E-2</v>
      </c>
      <c r="D29" s="65">
        <v>8.7504817740637675E-2</v>
      </c>
      <c r="E29" s="65">
        <v>7.6440735752167699E-2</v>
      </c>
      <c r="F29" s="65">
        <v>6.9911452138706309E-2</v>
      </c>
      <c r="G29" s="65">
        <v>6.4907535998830479E-2</v>
      </c>
      <c r="H29" s="65">
        <v>5.4979751527215237E-2</v>
      </c>
      <c r="I29" s="65">
        <v>4.8536109303838781E-2</v>
      </c>
      <c r="J29" s="65">
        <v>4.4802264829982841E-2</v>
      </c>
      <c r="K29" s="65">
        <v>5.6952417358623331E-2</v>
      </c>
      <c r="L29" s="65">
        <v>7.6698319941563176E-2</v>
      </c>
      <c r="M29" s="65">
        <v>2.0000000000000018E-2</v>
      </c>
      <c r="N29" s="65">
        <v>3.1764705882352917E-2</v>
      </c>
      <c r="O29" s="65">
        <v>3.7343215507411598E-2</v>
      </c>
      <c r="P29" s="65">
        <v>3.2000000000000001E-2</v>
      </c>
      <c r="Q29" s="65">
        <v>3.2000000000000001E-2</v>
      </c>
      <c r="R29" s="65">
        <v>3.2000000000000001E-2</v>
      </c>
      <c r="S29" s="65">
        <v>3.2000000000000001E-2</v>
      </c>
      <c r="T29" s="65">
        <v>3.2000000000000001E-2</v>
      </c>
      <c r="U29" s="65">
        <v>3.2000000000000001E-2</v>
      </c>
      <c r="V29" s="65">
        <v>3.2000000000000001E-2</v>
      </c>
      <c r="W29" s="65">
        <v>3.2000000000000001E-2</v>
      </c>
      <c r="X29" s="65">
        <v>3.2000000000000001E-2</v>
      </c>
      <c r="Y29" s="65">
        <v>3.2000000000000001E-2</v>
      </c>
      <c r="Z29" s="65">
        <v>3.2000000000000001E-2</v>
      </c>
      <c r="AA29" s="65">
        <v>3.2000000000000001E-2</v>
      </c>
      <c r="AB29" s="65">
        <v>3.2000000000000001E-2</v>
      </c>
      <c r="AC29" s="65">
        <v>3.2000000000000001E-2</v>
      </c>
      <c r="AD29" s="65">
        <v>3.2000000000000001E-2</v>
      </c>
      <c r="AE29" s="65">
        <v>3.2000000000000001E-2</v>
      </c>
      <c r="AF29" s="65">
        <v>3.2000000000000001E-2</v>
      </c>
      <c r="AG29" s="159">
        <v>3.2000000000000001E-2</v>
      </c>
      <c r="AH29" s="159">
        <v>3.2000000000000001E-2</v>
      </c>
      <c r="AI29" s="159">
        <v>3.2000000000000001E-2</v>
      </c>
      <c r="AJ29" s="159">
        <v>3.2000000000000001E-2</v>
      </c>
      <c r="AK29" s="159">
        <v>3.2000000000000001E-2</v>
      </c>
      <c r="AL29" s="159">
        <v>3.2000000000000001E-2</v>
      </c>
      <c r="AM29" s="159">
        <v>3.2000000000000001E-2</v>
      </c>
      <c r="AN29" s="159">
        <v>3.2000000000000001E-2</v>
      </c>
      <c r="AO29" s="159">
        <v>3.2000000000000001E-2</v>
      </c>
      <c r="AP29" s="159">
        <v>3.2000000000000001E-2</v>
      </c>
      <c r="AQ29" s="159">
        <v>3.2000000000000001E-2</v>
      </c>
      <c r="AR29" s="159">
        <v>3.2000000000000001E-2</v>
      </c>
      <c r="AS29" s="159">
        <v>3.2000000000000001E-2</v>
      </c>
      <c r="AT29" s="159">
        <v>3.2000000000000001E-2</v>
      </c>
      <c r="AU29" s="159">
        <v>3.2000000000000001E-2</v>
      </c>
      <c r="AV29" s="159">
        <v>3.2000000000000001E-2</v>
      </c>
      <c r="AW29" s="159">
        <v>3.2000000000000001E-2</v>
      </c>
      <c r="AX29" s="159">
        <v>3.2000000000000001E-2</v>
      </c>
      <c r="AY29" s="159">
        <v>3.2000000000000001E-2</v>
      </c>
      <c r="AZ29" s="159">
        <v>3.2000000000000001E-2</v>
      </c>
      <c r="BA29" s="159">
        <v>3.2000000000000001E-2</v>
      </c>
      <c r="BB29" s="159">
        <v>3.2000000000000001E-2</v>
      </c>
    </row>
    <row r="30" spans="1:54" ht="15.75" thickBot="1" x14ac:dyDescent="0.3">
      <c r="A30" s="487" t="s">
        <v>623</v>
      </c>
      <c r="B30" s="488"/>
      <c r="C30" s="274">
        <v>1</v>
      </c>
      <c r="D30" s="160">
        <f>+C30*(1+D28)</f>
        <v>1.1103779624480807</v>
      </c>
      <c r="E30" s="160">
        <f>+D30*(1+E28)</f>
        <v>1.1873436238746329</v>
      </c>
      <c r="F30" s="160">
        <f t="shared" ref="F30:AG30" si="29">+E30*(1+F28)</f>
        <v>1.2975344761999015</v>
      </c>
      <c r="G30" s="160">
        <f t="shared" si="29"/>
        <v>1.3718017313098636</v>
      </c>
      <c r="H30" s="160">
        <f t="shared" si="29"/>
        <v>1.435459378546974</v>
      </c>
      <c r="I30" s="160">
        <f t="shared" si="29"/>
        <v>1.4651464871234214</v>
      </c>
      <c r="J30" s="160">
        <f t="shared" si="29"/>
        <v>1.5463352704127864</v>
      </c>
      <c r="K30" s="160">
        <f t="shared" si="29"/>
        <v>1.5660019360485435</v>
      </c>
      <c r="L30" s="160">
        <f t="shared" si="29"/>
        <v>1.7068773021503747</v>
      </c>
      <c r="M30" s="160">
        <f t="shared" si="29"/>
        <v>1.6696099140530529</v>
      </c>
      <c r="N30" s="160">
        <f t="shared" si="29"/>
        <v>1.742598325596356</v>
      </c>
      <c r="O30" s="160">
        <f t="shared" si="29"/>
        <v>1.833215294164948</v>
      </c>
      <c r="P30" s="160">
        <f t="shared" si="29"/>
        <v>1.8882117529898965</v>
      </c>
      <c r="Q30" s="160">
        <f t="shared" si="29"/>
        <v>1.9448581055795935</v>
      </c>
      <c r="R30" s="160">
        <f t="shared" si="29"/>
        <v>2.0032038487469812</v>
      </c>
      <c r="S30" s="160">
        <f t="shared" si="29"/>
        <v>2.0632999642093908</v>
      </c>
      <c r="T30" s="160">
        <f t="shared" si="29"/>
        <v>2.1251989631356727</v>
      </c>
      <c r="U30" s="160">
        <f t="shared" si="29"/>
        <v>2.188954932029743</v>
      </c>
      <c r="V30" s="160">
        <f t="shared" si="29"/>
        <v>2.2546235799906356</v>
      </c>
      <c r="W30" s="160">
        <f t="shared" si="29"/>
        <v>2.3222622873903549</v>
      </c>
      <c r="X30" s="160">
        <f t="shared" si="29"/>
        <v>2.3919301560120658</v>
      </c>
      <c r="Y30" s="160">
        <f t="shared" si="29"/>
        <v>2.4636880606924279</v>
      </c>
      <c r="Z30" s="160">
        <f t="shared" si="29"/>
        <v>2.537598702513201</v>
      </c>
      <c r="AA30" s="160">
        <f t="shared" si="29"/>
        <v>2.6137266635885972</v>
      </c>
      <c r="AB30" s="160">
        <f t="shared" si="29"/>
        <v>2.6921384634962551</v>
      </c>
      <c r="AC30" s="160">
        <f t="shared" si="29"/>
        <v>2.7729026174011429</v>
      </c>
      <c r="AD30" s="160">
        <f t="shared" si="29"/>
        <v>2.8560896959231772</v>
      </c>
      <c r="AE30" s="160">
        <f t="shared" si="29"/>
        <v>2.9417723868008725</v>
      </c>
      <c r="AF30" s="160">
        <f t="shared" si="29"/>
        <v>3.030025558404899</v>
      </c>
      <c r="AG30" s="161">
        <f t="shared" si="29"/>
        <v>3.120926325157046</v>
      </c>
      <c r="AH30" s="161">
        <f t="shared" ref="AH30:BB30" si="30">+AG30*(1+AH28)</f>
        <v>3.2145541149117576</v>
      </c>
      <c r="AI30" s="161">
        <f t="shared" si="30"/>
        <v>3.3109907383591102</v>
      </c>
      <c r="AJ30" s="161">
        <f t="shared" si="30"/>
        <v>3.4103204605098836</v>
      </c>
      <c r="AK30" s="161">
        <f t="shared" si="30"/>
        <v>3.5126300743251804</v>
      </c>
      <c r="AL30" s="161">
        <f t="shared" si="30"/>
        <v>3.6180089765549357</v>
      </c>
      <c r="AM30" s="161">
        <f t="shared" si="30"/>
        <v>3.7265492458515839</v>
      </c>
      <c r="AN30" s="161">
        <f t="shared" si="30"/>
        <v>3.8383457232271314</v>
      </c>
      <c r="AO30" s="161">
        <f t="shared" si="30"/>
        <v>3.9534960949239455</v>
      </c>
      <c r="AP30" s="161">
        <f t="shared" si="30"/>
        <v>4.0721009777716644</v>
      </c>
      <c r="AQ30" s="161">
        <f t="shared" si="30"/>
        <v>4.1942640071048141</v>
      </c>
      <c r="AR30" s="161">
        <f t="shared" si="30"/>
        <v>4.320091927317959</v>
      </c>
      <c r="AS30" s="161">
        <f t="shared" si="30"/>
        <v>4.4496946851374979</v>
      </c>
      <c r="AT30" s="161">
        <f t="shared" si="30"/>
        <v>4.583185525691623</v>
      </c>
      <c r="AU30" s="161">
        <f t="shared" si="30"/>
        <v>4.7206810914623718</v>
      </c>
      <c r="AV30" s="161">
        <f t="shared" si="30"/>
        <v>4.8623015242062433</v>
      </c>
      <c r="AW30" s="161">
        <f t="shared" si="30"/>
        <v>5.0081705699324308</v>
      </c>
      <c r="AX30" s="161">
        <f t="shared" si="30"/>
        <v>5.1584156870304039</v>
      </c>
      <c r="AY30" s="161">
        <f t="shared" si="30"/>
        <v>5.3131681576413161</v>
      </c>
      <c r="AZ30" s="161">
        <f t="shared" si="30"/>
        <v>5.4725632023705559</v>
      </c>
      <c r="BA30" s="161">
        <f t="shared" si="30"/>
        <v>5.6367400984416731</v>
      </c>
      <c r="BB30" s="161">
        <f t="shared" si="30"/>
        <v>5.8058423013949234</v>
      </c>
    </row>
    <row r="31" spans="1:54" x14ac:dyDescent="0.25">
      <c r="A31" s="489"/>
      <c r="B31" s="482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</row>
    <row r="32" spans="1:54" x14ac:dyDescent="0.25">
      <c r="A32" s="489"/>
      <c r="B32" s="482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</row>
    <row r="33" spans="1:54" ht="15.75" thickBot="1" x14ac:dyDescent="0.3">
      <c r="A33" s="490" t="s">
        <v>86</v>
      </c>
      <c r="D33" s="1"/>
      <c r="E33" s="22"/>
      <c r="F33" s="1"/>
      <c r="G33" s="1"/>
      <c r="H33" s="1"/>
    </row>
    <row r="34" spans="1:54" x14ac:dyDescent="0.25">
      <c r="A34" s="592" t="s">
        <v>624</v>
      </c>
      <c r="B34" s="593"/>
      <c r="C34" s="275"/>
      <c r="D34" s="320">
        <f>D8*0.03</f>
        <v>69948760.177642569</v>
      </c>
      <c r="E34" s="320">
        <f t="shared" ref="E34:BA34" si="31">E8*0.03</f>
        <v>82406254.639008582</v>
      </c>
      <c r="F34" s="320">
        <f t="shared" si="31"/>
        <v>98206189.160958022</v>
      </c>
      <c r="G34" s="320">
        <f t="shared" si="31"/>
        <v>119125853.72540572</v>
      </c>
      <c r="H34" s="320">
        <f t="shared" si="31"/>
        <v>113768323.57158144</v>
      </c>
      <c r="I34" s="320">
        <f t="shared" si="31"/>
        <v>102615389.2994861</v>
      </c>
      <c r="J34" s="320">
        <f t="shared" si="31"/>
        <v>110038110.94493689</v>
      </c>
      <c r="K34" s="320">
        <f t="shared" si="31"/>
        <v>98222351.587070122</v>
      </c>
      <c r="L34" s="320">
        <f t="shared" si="31"/>
        <v>101284408.16788882</v>
      </c>
      <c r="M34" s="320">
        <f t="shared" si="31"/>
        <v>108647948.62129778</v>
      </c>
      <c r="N34" s="320">
        <f t="shared" si="31"/>
        <v>99808534.0845505</v>
      </c>
      <c r="O34" s="320">
        <f t="shared" si="31"/>
        <v>103399072.22013594</v>
      </c>
      <c r="P34" s="320">
        <f t="shared" si="31"/>
        <v>120015915.59428385</v>
      </c>
      <c r="Q34" s="320">
        <f t="shared" si="31"/>
        <v>125297418.53464486</v>
      </c>
      <c r="R34" s="320">
        <f t="shared" si="31"/>
        <v>132928031.32340471</v>
      </c>
      <c r="S34" s="320">
        <f t="shared" si="31"/>
        <v>141023348.43100005</v>
      </c>
      <c r="T34" s="320">
        <f t="shared" si="31"/>
        <v>149611670.35044795</v>
      </c>
      <c r="U34" s="320">
        <f t="shared" si="31"/>
        <v>158723021.07479024</v>
      </c>
      <c r="V34" s="320">
        <f t="shared" si="31"/>
        <v>168389253.05824491</v>
      </c>
      <c r="W34" s="320">
        <f t="shared" si="31"/>
        <v>178644158.56949204</v>
      </c>
      <c r="X34" s="320">
        <f t="shared" si="31"/>
        <v>189523587.82637411</v>
      </c>
      <c r="Y34" s="320">
        <f t="shared" si="31"/>
        <v>201065574.32500026</v>
      </c>
      <c r="Z34" s="320">
        <f t="shared" si="31"/>
        <v>213310467.80139276</v>
      </c>
      <c r="AA34" s="320">
        <f t="shared" si="31"/>
        <v>226301075.2904976</v>
      </c>
      <c r="AB34" s="320">
        <f t="shared" si="31"/>
        <v>240082810.77568892</v>
      </c>
      <c r="AC34" s="320">
        <f t="shared" si="31"/>
        <v>254703853.95192835</v>
      </c>
      <c r="AD34" s="320">
        <f t="shared" si="31"/>
        <v>270215318.65760076</v>
      </c>
      <c r="AE34" s="320">
        <f t="shared" si="31"/>
        <v>286671431.56384867</v>
      </c>
      <c r="AF34" s="320">
        <f t="shared" si="31"/>
        <v>304129721.74608707</v>
      </c>
      <c r="AG34" s="320">
        <f t="shared" si="31"/>
        <v>322651221.8004238</v>
      </c>
      <c r="AH34" s="320">
        <f t="shared" si="31"/>
        <v>342300681.20806956</v>
      </c>
      <c r="AI34" s="320">
        <f t="shared" si="31"/>
        <v>363146792.69364095</v>
      </c>
      <c r="AJ34" s="320">
        <f t="shared" si="31"/>
        <v>385262432.36868376</v>
      </c>
      <c r="AK34" s="320">
        <f t="shared" si="31"/>
        <v>408724914.49993658</v>
      </c>
      <c r="AL34" s="320">
        <f t="shared" si="31"/>
        <v>433616261.79298264</v>
      </c>
      <c r="AM34" s="320">
        <f t="shared" si="31"/>
        <v>460023492.13617527</v>
      </c>
      <c r="AN34" s="320">
        <f t="shared" si="31"/>
        <v>488038922.80726838</v>
      </c>
      <c r="AO34" s="320">
        <f t="shared" si="31"/>
        <v>517760493.206231</v>
      </c>
      <c r="AP34" s="320">
        <f t="shared" si="31"/>
        <v>549292107.24249041</v>
      </c>
      <c r="AQ34" s="320">
        <f t="shared" si="31"/>
        <v>582743996.57355809</v>
      </c>
      <c r="AR34" s="320">
        <f t="shared" si="31"/>
        <v>618233105.96488762</v>
      </c>
      <c r="AS34" s="320">
        <f t="shared" si="31"/>
        <v>655883502.1181494</v>
      </c>
      <c r="AT34" s="320">
        <f t="shared" si="31"/>
        <v>695826807.39714468</v>
      </c>
      <c r="AU34" s="320">
        <f t="shared" si="31"/>
        <v>738202659.96763062</v>
      </c>
      <c r="AV34" s="320">
        <f t="shared" si="31"/>
        <v>783159201.95965934</v>
      </c>
      <c r="AW34" s="320">
        <f t="shared" si="31"/>
        <v>830853597.35900247</v>
      </c>
      <c r="AX34" s="320">
        <f t="shared" si="31"/>
        <v>0</v>
      </c>
      <c r="AY34" s="320">
        <f t="shared" si="31"/>
        <v>0</v>
      </c>
      <c r="AZ34" s="320">
        <f t="shared" si="31"/>
        <v>0</v>
      </c>
      <c r="BA34" s="320">
        <f t="shared" si="31"/>
        <v>0</v>
      </c>
      <c r="BB34" s="320">
        <f>BB8*0.03</f>
        <v>0</v>
      </c>
    </row>
    <row r="35" spans="1:54" x14ac:dyDescent="0.25">
      <c r="A35" s="493" t="s">
        <v>9</v>
      </c>
      <c r="B35" s="494"/>
      <c r="C35" s="276"/>
      <c r="D35" s="95">
        <f>D8*0.07</f>
        <v>163213773.74783266</v>
      </c>
      <c r="E35" s="95">
        <f t="shared" ref="E35:BA35" si="32">E8*0.07</f>
        <v>192281260.82435337</v>
      </c>
      <c r="F35" s="95">
        <f t="shared" si="32"/>
        <v>229147774.70890206</v>
      </c>
      <c r="G35" s="95">
        <f t="shared" si="32"/>
        <v>277960325.35928005</v>
      </c>
      <c r="H35" s="95">
        <f t="shared" si="32"/>
        <v>265459421.66702342</v>
      </c>
      <c r="I35" s="95">
        <f t="shared" si="32"/>
        <v>239435908.36546758</v>
      </c>
      <c r="J35" s="95">
        <f t="shared" si="32"/>
        <v>256755592.20485276</v>
      </c>
      <c r="K35" s="95">
        <f t="shared" si="32"/>
        <v>229185487.036497</v>
      </c>
      <c r="L35" s="95">
        <f t="shared" si="32"/>
        <v>236330285.72507393</v>
      </c>
      <c r="M35" s="95">
        <f t="shared" si="32"/>
        <v>253511880.1163615</v>
      </c>
      <c r="N35" s="95">
        <f t="shared" si="32"/>
        <v>232886579.53061786</v>
      </c>
      <c r="O35" s="95">
        <f t="shared" si="32"/>
        <v>241264501.84698391</v>
      </c>
      <c r="P35" s="95">
        <f t="shared" si="32"/>
        <v>280037136.38666236</v>
      </c>
      <c r="Q35" s="95">
        <f t="shared" si="32"/>
        <v>292360643.24750471</v>
      </c>
      <c r="R35" s="95">
        <f t="shared" si="32"/>
        <v>310165406.4212777</v>
      </c>
      <c r="S35" s="95">
        <f t="shared" si="32"/>
        <v>329054479.67233354</v>
      </c>
      <c r="T35" s="95">
        <f t="shared" si="32"/>
        <v>349093897.48437864</v>
      </c>
      <c r="U35" s="95">
        <f t="shared" si="32"/>
        <v>370353715.84117728</v>
      </c>
      <c r="V35" s="95">
        <f t="shared" si="32"/>
        <v>392908257.13590491</v>
      </c>
      <c r="W35" s="95">
        <f t="shared" si="32"/>
        <v>416836369.99548155</v>
      </c>
      <c r="X35" s="95">
        <f t="shared" si="32"/>
        <v>442221704.92820632</v>
      </c>
      <c r="Y35" s="95">
        <f t="shared" si="32"/>
        <v>469153006.75833404</v>
      </c>
      <c r="Z35" s="95">
        <f t="shared" si="32"/>
        <v>497724424.86991656</v>
      </c>
      <c r="AA35" s="95">
        <f t="shared" si="32"/>
        <v>528035842.34449446</v>
      </c>
      <c r="AB35" s="95">
        <f t="shared" si="32"/>
        <v>560193225.14327419</v>
      </c>
      <c r="AC35" s="95">
        <f t="shared" si="32"/>
        <v>594308992.55449951</v>
      </c>
      <c r="AD35" s="95">
        <f t="shared" si="32"/>
        <v>630502410.20106852</v>
      </c>
      <c r="AE35" s="95">
        <f t="shared" si="32"/>
        <v>668900006.98231363</v>
      </c>
      <c r="AF35" s="95">
        <f t="shared" si="32"/>
        <v>709636017.40753663</v>
      </c>
      <c r="AG35" s="95">
        <f t="shared" si="32"/>
        <v>752852850.86765563</v>
      </c>
      <c r="AH35" s="95">
        <f t="shared" si="32"/>
        <v>798701589.48549569</v>
      </c>
      <c r="AI35" s="95">
        <f t="shared" si="32"/>
        <v>847342516.28516233</v>
      </c>
      <c r="AJ35" s="95">
        <f t="shared" si="32"/>
        <v>898945675.5269289</v>
      </c>
      <c r="AK35" s="95">
        <f t="shared" si="32"/>
        <v>953691467.16651881</v>
      </c>
      <c r="AL35" s="95">
        <f t="shared" si="32"/>
        <v>1011771277.5169597</v>
      </c>
      <c r="AM35" s="95">
        <f t="shared" si="32"/>
        <v>1073388148.3177425</v>
      </c>
      <c r="AN35" s="95">
        <f t="shared" si="32"/>
        <v>1138757486.550293</v>
      </c>
      <c r="AO35" s="95">
        <f t="shared" si="32"/>
        <v>1208107817.4812057</v>
      </c>
      <c r="AP35" s="95">
        <f t="shared" si="32"/>
        <v>1281681583.5658112</v>
      </c>
      <c r="AQ35" s="95">
        <f t="shared" si="32"/>
        <v>1359735992.0049691</v>
      </c>
      <c r="AR35" s="95">
        <f t="shared" si="32"/>
        <v>1442543913.9180715</v>
      </c>
      <c r="AS35" s="95">
        <f t="shared" si="32"/>
        <v>1530394838.275682</v>
      </c>
      <c r="AT35" s="95">
        <f t="shared" si="32"/>
        <v>1623595883.926671</v>
      </c>
      <c r="AU35" s="95">
        <f t="shared" si="32"/>
        <v>1722472873.2578051</v>
      </c>
      <c r="AV35" s="95">
        <f t="shared" si="32"/>
        <v>1827371471.2392056</v>
      </c>
      <c r="AW35" s="95">
        <f t="shared" si="32"/>
        <v>1938658393.8376727</v>
      </c>
      <c r="AX35" s="95">
        <f t="shared" si="32"/>
        <v>0</v>
      </c>
      <c r="AY35" s="95">
        <f t="shared" si="32"/>
        <v>0</v>
      </c>
      <c r="AZ35" s="95">
        <f t="shared" si="32"/>
        <v>0</v>
      </c>
      <c r="BA35" s="95">
        <f t="shared" si="32"/>
        <v>0</v>
      </c>
      <c r="BB35" s="95">
        <f>BB8*0.07</f>
        <v>0</v>
      </c>
    </row>
    <row r="36" spans="1:54" x14ac:dyDescent="0.25">
      <c r="A36" s="493" t="s">
        <v>625</v>
      </c>
      <c r="B36" s="494"/>
      <c r="C36" s="276"/>
      <c r="D36" s="93">
        <f>D8*90%</f>
        <v>2098462805.329277</v>
      </c>
      <c r="E36" s="93">
        <f t="shared" ref="E36:BA36" si="33">E8*90%</f>
        <v>2472187639.1702576</v>
      </c>
      <c r="F36" s="93">
        <f t="shared" si="33"/>
        <v>2946185674.8287406</v>
      </c>
      <c r="G36" s="93">
        <f t="shared" si="33"/>
        <v>3573775611.7621717</v>
      </c>
      <c r="H36" s="93">
        <f t="shared" si="33"/>
        <v>3413049707.1474438</v>
      </c>
      <c r="I36" s="93">
        <f t="shared" si="33"/>
        <v>3078461678.9845829</v>
      </c>
      <c r="J36" s="93">
        <f t="shared" si="33"/>
        <v>3301143328.3481069</v>
      </c>
      <c r="K36" s="93">
        <f t="shared" si="33"/>
        <v>2946670547.6121039</v>
      </c>
      <c r="L36" s="93">
        <f t="shared" si="33"/>
        <v>3038532245.036665</v>
      </c>
      <c r="M36" s="93">
        <f t="shared" si="33"/>
        <v>3259438458.6389337</v>
      </c>
      <c r="N36" s="93">
        <f t="shared" si="33"/>
        <v>2994256022.5365152</v>
      </c>
      <c r="O36" s="93">
        <f t="shared" si="33"/>
        <v>3101972166.6040788</v>
      </c>
      <c r="P36" s="93">
        <f t="shared" si="33"/>
        <v>3600477467.8285155</v>
      </c>
      <c r="Q36" s="93">
        <f t="shared" si="33"/>
        <v>3758922556.0393462</v>
      </c>
      <c r="R36" s="93">
        <f t="shared" si="33"/>
        <v>3987840939.7021418</v>
      </c>
      <c r="S36" s="93">
        <f t="shared" si="33"/>
        <v>4230700452.9300022</v>
      </c>
      <c r="T36" s="93">
        <f t="shared" si="33"/>
        <v>4488350110.5134392</v>
      </c>
      <c r="U36" s="93">
        <f t="shared" si="33"/>
        <v>4761690632.2437077</v>
      </c>
      <c r="V36" s="93">
        <f t="shared" si="33"/>
        <v>5051677591.7473478</v>
      </c>
      <c r="W36" s="93">
        <f t="shared" si="33"/>
        <v>5359324757.0847616</v>
      </c>
      <c r="X36" s="93">
        <f t="shared" si="33"/>
        <v>5685707634.7912235</v>
      </c>
      <c r="Y36" s="93">
        <f t="shared" si="33"/>
        <v>6031967229.7500086</v>
      </c>
      <c r="Z36" s="93">
        <f t="shared" si="33"/>
        <v>6399314034.0417833</v>
      </c>
      <c r="AA36" s="93">
        <f t="shared" si="33"/>
        <v>6789032258.7149286</v>
      </c>
      <c r="AB36" s="93">
        <f t="shared" si="33"/>
        <v>7202484323.270668</v>
      </c>
      <c r="AC36" s="93">
        <f t="shared" si="33"/>
        <v>7641115618.5578508</v>
      </c>
      <c r="AD36" s="93">
        <f t="shared" si="33"/>
        <v>8106459559.7280235</v>
      </c>
      <c r="AE36" s="93">
        <f t="shared" si="33"/>
        <v>8600142946.9154606</v>
      </c>
      <c r="AF36" s="93">
        <f t="shared" si="33"/>
        <v>9123891652.3826122</v>
      </c>
      <c r="AG36" s="93">
        <f t="shared" si="33"/>
        <v>9679536654.0127144</v>
      </c>
      <c r="AH36" s="93">
        <f t="shared" si="33"/>
        <v>10269020436.242086</v>
      </c>
      <c r="AI36" s="93">
        <f t="shared" si="33"/>
        <v>10894403780.809229</v>
      </c>
      <c r="AJ36" s="93">
        <f t="shared" si="33"/>
        <v>11557872971.060513</v>
      </c>
      <c r="AK36" s="93">
        <f t="shared" si="33"/>
        <v>12261747434.998098</v>
      </c>
      <c r="AL36" s="93">
        <f t="shared" si="33"/>
        <v>13008487853.78948</v>
      </c>
      <c r="AM36" s="93">
        <f t="shared" si="33"/>
        <v>13800704764.08526</v>
      </c>
      <c r="AN36" s="93">
        <f t="shared" si="33"/>
        <v>14641167684.218052</v>
      </c>
      <c r="AO36" s="93">
        <f t="shared" si="33"/>
        <v>15532814796.18693</v>
      </c>
      <c r="AP36" s="93">
        <f t="shared" si="33"/>
        <v>16478763217.274714</v>
      </c>
      <c r="AQ36" s="93">
        <f t="shared" si="33"/>
        <v>17482319897.206745</v>
      </c>
      <c r="AR36" s="93">
        <f t="shared" si="33"/>
        <v>18546993178.946632</v>
      </c>
      <c r="AS36" s="93">
        <f t="shared" si="33"/>
        <v>19676505063.544483</v>
      </c>
      <c r="AT36" s="93">
        <f t="shared" si="33"/>
        <v>20874804221.914341</v>
      </c>
      <c r="AU36" s="93">
        <f t="shared" si="33"/>
        <v>22146079799.028923</v>
      </c>
      <c r="AV36" s="93">
        <f t="shared" si="33"/>
        <v>23494776058.789783</v>
      </c>
      <c r="AW36" s="93">
        <f t="shared" si="33"/>
        <v>24925607920.770077</v>
      </c>
      <c r="AX36" s="93">
        <f t="shared" si="33"/>
        <v>0</v>
      </c>
      <c r="AY36" s="93">
        <f t="shared" si="33"/>
        <v>0</v>
      </c>
      <c r="AZ36" s="93">
        <f t="shared" si="33"/>
        <v>0</v>
      </c>
      <c r="BA36" s="93">
        <f t="shared" si="33"/>
        <v>0</v>
      </c>
      <c r="BB36" s="93">
        <f>BB8*90%</f>
        <v>0</v>
      </c>
    </row>
    <row r="37" spans="1:54" x14ac:dyDescent="0.25">
      <c r="A37" s="493" t="s">
        <v>626</v>
      </c>
      <c r="B37" s="494"/>
      <c r="C37" s="276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</row>
    <row r="38" spans="1:54" ht="15.75" thickBot="1" x14ac:dyDescent="0.3">
      <c r="A38" s="495" t="s">
        <v>29</v>
      </c>
      <c r="B38" s="496"/>
      <c r="C38" s="277"/>
      <c r="D38" s="170">
        <f>SUM(D34:D36)</f>
        <v>2331625339.2547522</v>
      </c>
      <c r="E38" s="170">
        <f t="shared" ref="E38:BB38" si="34">SUM(E34:E36)</f>
        <v>2746875154.6336193</v>
      </c>
      <c r="F38" s="170">
        <f t="shared" si="34"/>
        <v>3273539638.6986008</v>
      </c>
      <c r="G38" s="170">
        <f t="shared" si="34"/>
        <v>3970861790.8468575</v>
      </c>
      <c r="H38" s="170">
        <f t="shared" si="34"/>
        <v>3792277452.3860488</v>
      </c>
      <c r="I38" s="170">
        <f t="shared" si="34"/>
        <v>3420512976.6495366</v>
      </c>
      <c r="J38" s="170">
        <f t="shared" si="34"/>
        <v>3667937031.4978967</v>
      </c>
      <c r="K38" s="170">
        <f t="shared" si="34"/>
        <v>3274078386.235671</v>
      </c>
      <c r="L38" s="170">
        <f t="shared" si="34"/>
        <v>3376146938.9296279</v>
      </c>
      <c r="M38" s="170">
        <f t="shared" si="34"/>
        <v>3621598287.3765931</v>
      </c>
      <c r="N38" s="170">
        <f t="shared" si="34"/>
        <v>3326951136.1516838</v>
      </c>
      <c r="O38" s="170">
        <f t="shared" si="34"/>
        <v>3446635740.6711988</v>
      </c>
      <c r="P38" s="170">
        <f t="shared" si="34"/>
        <v>4000530519.8094616</v>
      </c>
      <c r="Q38" s="170">
        <f t="shared" si="34"/>
        <v>4176580617.821496</v>
      </c>
      <c r="R38" s="170">
        <f t="shared" si="34"/>
        <v>4430934377.4468241</v>
      </c>
      <c r="S38" s="170">
        <f t="shared" si="34"/>
        <v>4700778281.0333357</v>
      </c>
      <c r="T38" s="170">
        <f t="shared" si="34"/>
        <v>4987055678.3482656</v>
      </c>
      <c r="U38" s="170">
        <f t="shared" si="34"/>
        <v>5290767369.1596756</v>
      </c>
      <c r="V38" s="170">
        <f t="shared" si="34"/>
        <v>5612975101.9414978</v>
      </c>
      <c r="W38" s="170">
        <f t="shared" si="34"/>
        <v>5954805285.6497355</v>
      </c>
      <c r="X38" s="170">
        <f t="shared" si="34"/>
        <v>6317452927.545804</v>
      </c>
      <c r="Y38" s="170">
        <f t="shared" si="34"/>
        <v>6702185810.8333426</v>
      </c>
      <c r="Z38" s="170">
        <f t="shared" si="34"/>
        <v>7110348926.7130928</v>
      </c>
      <c r="AA38" s="170">
        <f t="shared" si="34"/>
        <v>7543369176.3499203</v>
      </c>
      <c r="AB38" s="170">
        <f t="shared" si="34"/>
        <v>8002760359.1896315</v>
      </c>
      <c r="AC38" s="170">
        <f t="shared" si="34"/>
        <v>8490128465.0642786</v>
      </c>
      <c r="AD38" s="170">
        <f t="shared" si="34"/>
        <v>9007177288.5866928</v>
      </c>
      <c r="AE38" s="170">
        <f t="shared" si="34"/>
        <v>9555714385.4616222</v>
      </c>
      <c r="AF38" s="170">
        <f t="shared" si="34"/>
        <v>10137657391.536236</v>
      </c>
      <c r="AG38" s="170">
        <f t="shared" si="34"/>
        <v>10755040726.680794</v>
      </c>
      <c r="AH38" s="170">
        <f t="shared" si="34"/>
        <v>11410022706.935652</v>
      </c>
      <c r="AI38" s="170">
        <f t="shared" si="34"/>
        <v>12104893089.788033</v>
      </c>
      <c r="AJ38" s="170">
        <f t="shared" si="34"/>
        <v>12842081078.956125</v>
      </c>
      <c r="AK38" s="170">
        <f t="shared" si="34"/>
        <v>13624163816.664555</v>
      </c>
      <c r="AL38" s="170">
        <f t="shared" si="34"/>
        <v>14453875393.099422</v>
      </c>
      <c r="AM38" s="170">
        <f t="shared" si="34"/>
        <v>15334116404.539179</v>
      </c>
      <c r="AN38" s="170">
        <f t="shared" si="34"/>
        <v>16267964093.575613</v>
      </c>
      <c r="AO38" s="170">
        <f t="shared" si="34"/>
        <v>17258683106.874367</v>
      </c>
      <c r="AP38" s="170">
        <f t="shared" si="34"/>
        <v>18309736908.083015</v>
      </c>
      <c r="AQ38" s="170">
        <f t="shared" si="34"/>
        <v>19424799885.785271</v>
      </c>
      <c r="AR38" s="170">
        <f t="shared" si="34"/>
        <v>20607770198.82959</v>
      </c>
      <c r="AS38" s="170">
        <f t="shared" si="34"/>
        <v>21862783403.938316</v>
      </c>
      <c r="AT38" s="170">
        <f t="shared" si="34"/>
        <v>23194226913.238155</v>
      </c>
      <c r="AU38" s="170">
        <f t="shared" si="34"/>
        <v>24606755332.25436</v>
      </c>
      <c r="AV38" s="170">
        <f t="shared" si="34"/>
        <v>26105306731.988647</v>
      </c>
      <c r="AW38" s="170">
        <f t="shared" si="34"/>
        <v>27695119911.966751</v>
      </c>
      <c r="AX38" s="170">
        <f t="shared" si="34"/>
        <v>0</v>
      </c>
      <c r="AY38" s="170">
        <f t="shared" si="34"/>
        <v>0</v>
      </c>
      <c r="AZ38" s="170">
        <f t="shared" si="34"/>
        <v>0</v>
      </c>
      <c r="BA38" s="170">
        <f t="shared" si="34"/>
        <v>0</v>
      </c>
      <c r="BB38" s="170">
        <f t="shared" si="34"/>
        <v>0</v>
      </c>
    </row>
    <row r="39" spans="1:54" ht="15.75" thickBot="1" x14ac:dyDescent="0.3">
      <c r="A39" s="497"/>
      <c r="B39" s="482"/>
      <c r="C39" s="23"/>
      <c r="D39" s="24"/>
      <c r="E39" s="24"/>
      <c r="F39" s="24"/>
      <c r="G39" s="24"/>
      <c r="H39" s="24"/>
    </row>
    <row r="40" spans="1:54" ht="15.75" thickBot="1" x14ac:dyDescent="0.3">
      <c r="A40" s="498" t="s">
        <v>218</v>
      </c>
      <c r="B40" s="499"/>
      <c r="C40" s="186">
        <f>+C5</f>
        <v>70762018612.858673</v>
      </c>
      <c r="D40" s="182">
        <f>D14</f>
        <v>16170672.84</v>
      </c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>
        <f>'Refurbishment SVC'!E55*Q27</f>
        <v>14730262000</v>
      </c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</row>
    <row r="41" spans="1:54" ht="15.75" thickBot="1" x14ac:dyDescent="0.3">
      <c r="A41" s="497"/>
      <c r="B41" s="482"/>
      <c r="C41" s="23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</row>
    <row r="42" spans="1:54" x14ac:dyDescent="0.25">
      <c r="A42" s="500" t="s">
        <v>627</v>
      </c>
      <c r="B42" s="501" t="s">
        <v>196</v>
      </c>
      <c r="C42" s="169" t="s">
        <v>197</v>
      </c>
      <c r="D42" s="6" t="s">
        <v>198</v>
      </c>
    </row>
    <row r="43" spans="1:54" x14ac:dyDescent="0.25">
      <c r="A43" s="502" t="s">
        <v>681</v>
      </c>
      <c r="B43" s="503">
        <f>82*35.35-378</f>
        <v>2520.7000000000003</v>
      </c>
      <c r="C43" s="108">
        <v>10935</v>
      </c>
      <c r="D43" s="126">
        <f>+B43*C43</f>
        <v>27563854.500000004</v>
      </c>
    </row>
    <row r="44" spans="1:54" x14ac:dyDescent="0.25">
      <c r="A44" s="502" t="s">
        <v>710</v>
      </c>
      <c r="B44" s="503">
        <v>378</v>
      </c>
      <c r="C44" s="108">
        <f>170748797/B44</f>
        <v>451716.39417989418</v>
      </c>
      <c r="D44" s="126">
        <f>+C44*B44</f>
        <v>170748797</v>
      </c>
    </row>
    <row r="45" spans="1:54" ht="15.75" thickBot="1" x14ac:dyDescent="0.3">
      <c r="A45" s="504" t="s">
        <v>630</v>
      </c>
      <c r="B45" s="505"/>
      <c r="C45" s="184"/>
      <c r="D45" s="185">
        <f>+D43+D44</f>
        <v>198312651.5</v>
      </c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</row>
    <row r="46" spans="1:54" x14ac:dyDescent="0.25">
      <c r="A46" s="506"/>
      <c r="B46" s="482"/>
      <c r="E46" s="98"/>
      <c r="F46" s="98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</row>
    <row r="47" spans="1:54" x14ac:dyDescent="0.25">
      <c r="E47" s="23"/>
      <c r="F47" s="104"/>
      <c r="G47" s="104"/>
      <c r="H47" s="104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54" ht="15.75" x14ac:dyDescent="0.25">
      <c r="A48" s="518"/>
      <c r="C48" s="30"/>
      <c r="D48" s="23"/>
    </row>
    <row r="49" spans="1:9" ht="15.75" x14ac:dyDescent="0.25">
      <c r="A49" s="518"/>
      <c r="C49" s="30"/>
      <c r="D49" s="23"/>
    </row>
    <row r="50" spans="1:9" ht="15.75" thickBot="1" x14ac:dyDescent="0.3"/>
    <row r="51" spans="1:9" ht="15.75" x14ac:dyDescent="0.25">
      <c r="A51" s="519"/>
      <c r="B51" s="520" t="s">
        <v>170</v>
      </c>
      <c r="C51" s="201">
        <v>2069.0100000000002</v>
      </c>
      <c r="D51" s="202">
        <v>5600</v>
      </c>
      <c r="E51" s="202">
        <v>11586456</v>
      </c>
      <c r="F51" s="201">
        <v>2069.0100000000002</v>
      </c>
      <c r="G51" s="202">
        <v>200000</v>
      </c>
      <c r="H51" s="202">
        <v>413802000</v>
      </c>
      <c r="I51" s="203">
        <v>425388456</v>
      </c>
    </row>
    <row r="52" spans="1:9" ht="15.75" x14ac:dyDescent="0.25">
      <c r="A52" s="521"/>
      <c r="B52" s="522" t="s">
        <v>169</v>
      </c>
      <c r="C52" s="190">
        <v>308.14</v>
      </c>
      <c r="D52" s="189">
        <v>5600</v>
      </c>
      <c r="E52" s="189">
        <v>1725584</v>
      </c>
      <c r="F52" s="190">
        <v>308.14</v>
      </c>
      <c r="G52" s="189">
        <v>50000</v>
      </c>
      <c r="H52" s="189">
        <v>15407000</v>
      </c>
      <c r="I52" s="204">
        <v>17132584</v>
      </c>
    </row>
    <row r="53" spans="1:9" ht="15.75" x14ac:dyDescent="0.25">
      <c r="A53" s="521"/>
      <c r="B53" s="522" t="s">
        <v>172</v>
      </c>
      <c r="C53" s="191"/>
      <c r="D53" s="190"/>
      <c r="E53" s="187"/>
      <c r="F53" s="187"/>
      <c r="G53" s="190"/>
      <c r="H53" s="189">
        <v>23215600</v>
      </c>
      <c r="I53" s="204">
        <v>23215600</v>
      </c>
    </row>
    <row r="54" spans="1:9" ht="31.5" x14ac:dyDescent="0.25">
      <c r="A54" s="521"/>
      <c r="B54" s="522" t="s">
        <v>686</v>
      </c>
      <c r="C54" s="191"/>
      <c r="D54" s="190"/>
      <c r="E54" s="187"/>
      <c r="F54" s="187"/>
      <c r="G54" s="190"/>
      <c r="H54" s="189">
        <v>25272200</v>
      </c>
      <c r="I54" s="204">
        <v>25272200</v>
      </c>
    </row>
    <row r="55" spans="1:9" ht="15.75" x14ac:dyDescent="0.25">
      <c r="A55" s="521"/>
      <c r="B55" s="523" t="s">
        <v>173</v>
      </c>
      <c r="C55" s="191"/>
      <c r="D55" s="190"/>
      <c r="E55" s="187"/>
      <c r="F55" s="187"/>
      <c r="G55" s="190"/>
      <c r="H55" s="189">
        <v>8000000</v>
      </c>
      <c r="I55" s="204">
        <v>8000000</v>
      </c>
    </row>
    <row r="56" spans="1:9" ht="15.75" x14ac:dyDescent="0.25">
      <c r="A56" s="524">
        <v>2.2999999999999998</v>
      </c>
      <c r="B56" s="525" t="s">
        <v>171</v>
      </c>
      <c r="C56" s="191"/>
      <c r="D56" s="190"/>
      <c r="E56" s="187"/>
      <c r="F56" s="187"/>
      <c r="G56" s="190"/>
      <c r="H56" s="187"/>
      <c r="I56" s="205"/>
    </row>
    <row r="57" spans="1:9" s="453" customFormat="1" ht="15.75" x14ac:dyDescent="0.25">
      <c r="A57" s="521"/>
      <c r="B57" s="522" t="s">
        <v>174</v>
      </c>
      <c r="C57" s="568">
        <v>266.7</v>
      </c>
      <c r="D57" s="567">
        <v>5600</v>
      </c>
      <c r="E57" s="567">
        <v>1493520</v>
      </c>
      <c r="F57" s="652"/>
      <c r="G57" s="568"/>
      <c r="H57" s="652"/>
      <c r="I57" s="653">
        <v>1493520</v>
      </c>
    </row>
    <row r="58" spans="1:9" s="453" customFormat="1" ht="15.75" x14ac:dyDescent="0.25">
      <c r="A58" s="521"/>
      <c r="B58" s="525" t="s">
        <v>688</v>
      </c>
      <c r="C58" s="649">
        <v>9443.92</v>
      </c>
      <c r="D58" s="568"/>
      <c r="E58" s="650">
        <v>52885952</v>
      </c>
      <c r="F58" s="650">
        <v>9177</v>
      </c>
      <c r="G58" s="568"/>
      <c r="H58" s="650">
        <v>1308744273</v>
      </c>
      <c r="I58" s="651">
        <v>1361630225</v>
      </c>
    </row>
    <row r="59" spans="1:9" ht="15.75" x14ac:dyDescent="0.25">
      <c r="A59" s="521"/>
      <c r="B59" s="522"/>
      <c r="C59" s="191"/>
      <c r="D59" s="190"/>
      <c r="E59" s="187"/>
      <c r="F59" s="187"/>
      <c r="G59" s="190"/>
      <c r="H59" s="187"/>
      <c r="I59" s="205"/>
    </row>
    <row r="60" spans="1:9" s="453" customFormat="1" ht="15.75" x14ac:dyDescent="0.25">
      <c r="A60" s="526"/>
      <c r="B60" s="525" t="s">
        <v>580</v>
      </c>
      <c r="C60" s="649">
        <v>76144.53</v>
      </c>
      <c r="D60" s="568"/>
      <c r="E60" s="650">
        <v>426409368</v>
      </c>
      <c r="F60" s="650">
        <v>57185</v>
      </c>
      <c r="G60" s="654"/>
      <c r="H60" s="650">
        <v>8281427086</v>
      </c>
      <c r="I60" s="651">
        <v>8707836454</v>
      </c>
    </row>
    <row r="61" spans="1:9" ht="15.75" x14ac:dyDescent="0.25">
      <c r="A61" s="521"/>
      <c r="B61" s="522"/>
      <c r="C61" s="191"/>
      <c r="D61" s="190"/>
      <c r="E61" s="187"/>
      <c r="F61" s="187"/>
      <c r="G61" s="190"/>
      <c r="H61" s="187"/>
      <c r="I61" s="205"/>
    </row>
    <row r="62" spans="1:9" ht="15.75" x14ac:dyDescent="0.25">
      <c r="A62" s="527" t="s">
        <v>175</v>
      </c>
      <c r="B62" s="528" t="s">
        <v>176</v>
      </c>
      <c r="C62" s="191"/>
      <c r="D62" s="190"/>
      <c r="E62" s="187"/>
      <c r="F62" s="187"/>
      <c r="G62" s="190"/>
      <c r="H62" s="187"/>
      <c r="I62" s="205"/>
    </row>
    <row r="63" spans="1:9" ht="15.75" x14ac:dyDescent="0.25">
      <c r="A63" s="524">
        <v>3.1</v>
      </c>
      <c r="B63" s="525" t="s">
        <v>177</v>
      </c>
      <c r="C63" s="187"/>
      <c r="D63" s="190"/>
      <c r="E63" s="187"/>
      <c r="F63" s="187"/>
      <c r="G63" s="187"/>
      <c r="H63" s="187"/>
      <c r="I63" s="205"/>
    </row>
    <row r="64" spans="1:9" ht="15.75" x14ac:dyDescent="0.25">
      <c r="A64" s="521" t="s">
        <v>162</v>
      </c>
      <c r="B64" s="522" t="s">
        <v>711</v>
      </c>
      <c r="C64" s="190">
        <v>826.44</v>
      </c>
      <c r="D64" s="189">
        <v>5600</v>
      </c>
      <c r="E64" s="189">
        <v>4628064</v>
      </c>
      <c r="F64" s="188">
        <v>1652.88</v>
      </c>
      <c r="G64" s="189">
        <v>712000</v>
      </c>
      <c r="H64" s="189">
        <v>1176850560</v>
      </c>
      <c r="I64" s="204">
        <v>1181478624</v>
      </c>
    </row>
    <row r="65" spans="1:9" ht="15.75" x14ac:dyDescent="0.25">
      <c r="A65" s="524">
        <v>3.2</v>
      </c>
      <c r="B65" s="525" t="s">
        <v>168</v>
      </c>
      <c r="C65" s="187"/>
      <c r="D65" s="190"/>
      <c r="E65" s="187"/>
      <c r="F65" s="187"/>
      <c r="G65" s="187"/>
      <c r="H65" s="187"/>
      <c r="I65" s="205"/>
    </row>
    <row r="66" spans="1:9" ht="15.75" x14ac:dyDescent="0.25">
      <c r="A66" s="521" t="s">
        <v>160</v>
      </c>
      <c r="B66" s="522" t="s">
        <v>161</v>
      </c>
      <c r="C66" s="190">
        <v>11.22</v>
      </c>
      <c r="D66" s="189">
        <v>5600</v>
      </c>
      <c r="E66" s="189">
        <v>62832</v>
      </c>
      <c r="F66" s="190">
        <v>11.22</v>
      </c>
      <c r="G66" s="189">
        <v>1042823</v>
      </c>
      <c r="H66" s="189">
        <v>11700478</v>
      </c>
      <c r="I66" s="204">
        <v>11763310</v>
      </c>
    </row>
    <row r="67" spans="1:9" ht="15.75" x14ac:dyDescent="0.25">
      <c r="A67" s="521" t="s">
        <v>163</v>
      </c>
      <c r="B67" s="522" t="s">
        <v>164</v>
      </c>
      <c r="C67" s="190">
        <v>236.52</v>
      </c>
      <c r="D67" s="189">
        <v>5600</v>
      </c>
      <c r="E67" s="189">
        <v>1324512</v>
      </c>
      <c r="F67" s="190">
        <v>236.52</v>
      </c>
      <c r="G67" s="189">
        <v>633619</v>
      </c>
      <c r="H67" s="189">
        <v>149863678</v>
      </c>
      <c r="I67" s="204">
        <v>151188190</v>
      </c>
    </row>
    <row r="68" spans="1:9" ht="15.75" x14ac:dyDescent="0.25">
      <c r="A68" s="521" t="s">
        <v>165</v>
      </c>
      <c r="B68" s="522" t="s">
        <v>640</v>
      </c>
      <c r="C68" s="190">
        <v>32.99</v>
      </c>
      <c r="D68" s="189">
        <v>5600</v>
      </c>
      <c r="E68" s="189">
        <v>184744</v>
      </c>
      <c r="F68" s="190">
        <v>32.99</v>
      </c>
      <c r="G68" s="189">
        <v>362458</v>
      </c>
      <c r="H68" s="189">
        <v>11957487</v>
      </c>
      <c r="I68" s="204">
        <v>12142231</v>
      </c>
    </row>
    <row r="69" spans="1:9" ht="15.75" x14ac:dyDescent="0.25">
      <c r="A69" s="521" t="s">
        <v>166</v>
      </c>
      <c r="B69" s="522" t="s">
        <v>641</v>
      </c>
      <c r="C69" s="190">
        <v>157.47999999999999</v>
      </c>
      <c r="D69" s="189">
        <v>5600</v>
      </c>
      <c r="E69" s="189">
        <v>881888</v>
      </c>
      <c r="F69" s="190">
        <v>157.47999999999999</v>
      </c>
      <c r="G69" s="189">
        <v>479994</v>
      </c>
      <c r="H69" s="189">
        <v>75589424</v>
      </c>
      <c r="I69" s="204">
        <v>76471312</v>
      </c>
    </row>
    <row r="70" spans="1:9" ht="15.75" x14ac:dyDescent="0.25">
      <c r="A70" s="521" t="s">
        <v>167</v>
      </c>
      <c r="B70" s="522" t="s">
        <v>642</v>
      </c>
      <c r="C70" s="190">
        <v>177.71</v>
      </c>
      <c r="D70" s="189">
        <v>5600</v>
      </c>
      <c r="E70" s="189">
        <v>995176</v>
      </c>
      <c r="F70" s="190">
        <v>177.71</v>
      </c>
      <c r="G70" s="189">
        <v>182844</v>
      </c>
      <c r="H70" s="189">
        <v>32493173</v>
      </c>
      <c r="I70" s="204">
        <v>33488349</v>
      </c>
    </row>
    <row r="71" spans="1:9" ht="15.75" x14ac:dyDescent="0.25">
      <c r="A71" s="521" t="s">
        <v>178</v>
      </c>
      <c r="B71" s="522" t="s">
        <v>643</v>
      </c>
      <c r="C71" s="190">
        <v>31.62</v>
      </c>
      <c r="D71" s="189">
        <v>5600</v>
      </c>
      <c r="E71" s="189">
        <v>177072</v>
      </c>
      <c r="F71" s="190">
        <v>31.62</v>
      </c>
      <c r="G71" s="189">
        <v>946282</v>
      </c>
      <c r="H71" s="189">
        <v>29921435</v>
      </c>
      <c r="I71" s="204">
        <v>30098507</v>
      </c>
    </row>
    <row r="72" spans="1:9" ht="15.75" x14ac:dyDescent="0.25">
      <c r="A72" s="521" t="s">
        <v>180</v>
      </c>
      <c r="B72" s="522" t="s">
        <v>181</v>
      </c>
      <c r="C72" s="190">
        <v>6.36</v>
      </c>
      <c r="D72" s="189">
        <v>5600</v>
      </c>
      <c r="E72" s="189">
        <v>35616</v>
      </c>
      <c r="F72" s="190">
        <v>6.36</v>
      </c>
      <c r="G72" s="189">
        <v>801998</v>
      </c>
      <c r="H72" s="189">
        <v>5100708</v>
      </c>
      <c r="I72" s="204">
        <v>5136324</v>
      </c>
    </row>
    <row r="73" spans="1:9" ht="15.75" x14ac:dyDescent="0.25">
      <c r="A73" s="521"/>
      <c r="B73" s="522" t="s">
        <v>182</v>
      </c>
      <c r="C73" s="187"/>
      <c r="D73" s="190"/>
      <c r="E73" s="187"/>
      <c r="F73" s="187"/>
      <c r="G73" s="187"/>
      <c r="H73" s="189">
        <v>1997400</v>
      </c>
      <c r="I73" s="204">
        <v>1997400</v>
      </c>
    </row>
    <row r="74" spans="1:9" ht="15.75" x14ac:dyDescent="0.25">
      <c r="A74" s="524">
        <v>3.3</v>
      </c>
      <c r="B74" s="525" t="s">
        <v>145</v>
      </c>
      <c r="C74" s="187"/>
      <c r="D74" s="190"/>
      <c r="E74" s="187"/>
      <c r="F74" s="187"/>
      <c r="G74" s="187"/>
      <c r="H74" s="187"/>
      <c r="I74" s="205"/>
    </row>
    <row r="75" spans="1:9" ht="31.5" x14ac:dyDescent="0.25">
      <c r="A75" s="521" t="s">
        <v>183</v>
      </c>
      <c r="B75" s="522" t="s">
        <v>644</v>
      </c>
      <c r="C75" s="190">
        <v>19.16</v>
      </c>
      <c r="D75" s="189">
        <v>5600</v>
      </c>
      <c r="E75" s="189">
        <v>107296</v>
      </c>
      <c r="F75" s="190">
        <v>19.16</v>
      </c>
      <c r="G75" s="189">
        <v>531845</v>
      </c>
      <c r="H75" s="189">
        <v>10190142</v>
      </c>
      <c r="I75" s="204">
        <v>10297438</v>
      </c>
    </row>
    <row r="76" spans="1:9" ht="15.75" x14ac:dyDescent="0.25">
      <c r="A76" s="521" t="s">
        <v>184</v>
      </c>
      <c r="B76" s="522" t="s">
        <v>185</v>
      </c>
      <c r="C76" s="190">
        <v>3.35</v>
      </c>
      <c r="D76" s="189">
        <v>5600</v>
      </c>
      <c r="E76" s="189">
        <v>18760</v>
      </c>
      <c r="F76" s="190">
        <v>3.35</v>
      </c>
      <c r="G76" s="189">
        <v>1064569</v>
      </c>
      <c r="H76" s="189">
        <v>3566305</v>
      </c>
      <c r="I76" s="204">
        <v>3585065</v>
      </c>
    </row>
    <row r="77" spans="1:9" ht="15.75" x14ac:dyDescent="0.25">
      <c r="A77" s="521" t="s">
        <v>186</v>
      </c>
      <c r="B77" s="522" t="s">
        <v>689</v>
      </c>
      <c r="C77" s="190">
        <v>14.24</v>
      </c>
      <c r="D77" s="189">
        <v>5600</v>
      </c>
      <c r="E77" s="189">
        <v>79744</v>
      </c>
      <c r="F77" s="190">
        <v>14.24</v>
      </c>
      <c r="G77" s="189">
        <v>86990</v>
      </c>
      <c r="H77" s="189">
        <v>1238743</v>
      </c>
      <c r="I77" s="204">
        <v>1318487</v>
      </c>
    </row>
    <row r="78" spans="1:9" ht="15.75" x14ac:dyDescent="0.25">
      <c r="A78" s="521"/>
      <c r="B78" s="522" t="s">
        <v>187</v>
      </c>
      <c r="C78" s="190">
        <v>20.9</v>
      </c>
      <c r="D78" s="189">
        <v>5600</v>
      </c>
      <c r="E78" s="189">
        <v>117040</v>
      </c>
      <c r="F78" s="190">
        <v>20.9</v>
      </c>
      <c r="G78" s="198">
        <v>280852</v>
      </c>
      <c r="H78" s="189">
        <v>5869807</v>
      </c>
      <c r="I78" s="204">
        <v>5986847</v>
      </c>
    </row>
    <row r="79" spans="1:9" ht="15.75" x14ac:dyDescent="0.25">
      <c r="A79" s="521"/>
      <c r="B79" s="522" t="s">
        <v>170</v>
      </c>
      <c r="C79" s="188">
        <v>2904.94</v>
      </c>
      <c r="D79" s="189">
        <v>5600</v>
      </c>
      <c r="E79" s="189">
        <v>16267664</v>
      </c>
      <c r="F79" s="188">
        <v>2904.94</v>
      </c>
      <c r="G79" s="189">
        <v>200000</v>
      </c>
      <c r="H79" s="189">
        <v>580988000</v>
      </c>
      <c r="I79" s="204">
        <v>597255664</v>
      </c>
    </row>
    <row r="80" spans="1:9" ht="15.75" x14ac:dyDescent="0.25">
      <c r="A80" s="521"/>
      <c r="B80" s="522" t="s">
        <v>169</v>
      </c>
      <c r="C80" s="190">
        <v>671.51</v>
      </c>
      <c r="D80" s="189">
        <v>5600</v>
      </c>
      <c r="E80" s="189">
        <v>3760456</v>
      </c>
      <c r="F80" s="190">
        <v>671.51</v>
      </c>
      <c r="G80" s="189">
        <v>50000</v>
      </c>
      <c r="H80" s="189">
        <v>33575500</v>
      </c>
      <c r="I80" s="204">
        <v>37335956</v>
      </c>
    </row>
    <row r="81" spans="1:9" ht="15.75" x14ac:dyDescent="0.25">
      <c r="A81" s="521"/>
      <c r="B81" s="522" t="s">
        <v>188</v>
      </c>
      <c r="C81" s="190">
        <v>117.22</v>
      </c>
      <c r="D81" s="189">
        <v>5600</v>
      </c>
      <c r="E81" s="189">
        <v>656432</v>
      </c>
      <c r="F81" s="190">
        <v>117.22</v>
      </c>
      <c r="G81" s="189">
        <v>200000</v>
      </c>
      <c r="H81" s="189">
        <v>23444000</v>
      </c>
      <c r="I81" s="204">
        <v>24100432</v>
      </c>
    </row>
    <row r="82" spans="1:9" ht="15.75" x14ac:dyDescent="0.25">
      <c r="A82" s="521"/>
      <c r="B82" s="522" t="s">
        <v>189</v>
      </c>
      <c r="C82" s="187"/>
      <c r="D82" s="190"/>
      <c r="E82" s="187"/>
      <c r="F82" s="187"/>
      <c r="G82" s="187"/>
      <c r="H82" s="189">
        <v>54270000</v>
      </c>
      <c r="I82" s="204">
        <v>54270000</v>
      </c>
    </row>
    <row r="83" spans="1:9" ht="15.75" x14ac:dyDescent="0.25">
      <c r="A83" s="521"/>
      <c r="B83" s="522" t="s">
        <v>190</v>
      </c>
      <c r="C83" s="187"/>
      <c r="D83" s="190"/>
      <c r="E83" s="187"/>
      <c r="F83" s="187"/>
      <c r="G83" s="187"/>
      <c r="H83" s="189">
        <v>1465100</v>
      </c>
      <c r="I83" s="204">
        <v>1465100</v>
      </c>
    </row>
    <row r="84" spans="1:9" ht="15.75" x14ac:dyDescent="0.25">
      <c r="A84" s="521"/>
      <c r="B84" s="522" t="s">
        <v>191</v>
      </c>
      <c r="C84" s="187"/>
      <c r="D84" s="190"/>
      <c r="E84" s="187"/>
      <c r="F84" s="187"/>
      <c r="G84" s="187"/>
      <c r="H84" s="189">
        <v>27008800</v>
      </c>
      <c r="I84" s="204">
        <v>27008800</v>
      </c>
    </row>
    <row r="85" spans="1:9" ht="15.75" x14ac:dyDescent="0.25">
      <c r="A85" s="521"/>
      <c r="B85" s="523" t="s">
        <v>192</v>
      </c>
      <c r="C85" s="187"/>
      <c r="D85" s="190"/>
      <c r="E85" s="187"/>
      <c r="F85" s="187"/>
      <c r="G85" s="187"/>
      <c r="H85" s="189">
        <v>4000000</v>
      </c>
      <c r="I85" s="204">
        <v>4000000</v>
      </c>
    </row>
    <row r="86" spans="1:9" ht="31.5" x14ac:dyDescent="0.25">
      <c r="A86" s="521"/>
      <c r="B86" s="522" t="s">
        <v>647</v>
      </c>
      <c r="C86" s="187"/>
      <c r="D86" s="190"/>
      <c r="E86" s="187"/>
      <c r="F86" s="187"/>
      <c r="G86" s="187"/>
      <c r="H86" s="189">
        <v>293610400</v>
      </c>
      <c r="I86" s="204">
        <v>293610400</v>
      </c>
    </row>
    <row r="87" spans="1:9" ht="31.5" x14ac:dyDescent="0.25">
      <c r="A87" s="521"/>
      <c r="B87" s="522" t="s">
        <v>193</v>
      </c>
      <c r="C87" s="187"/>
      <c r="D87" s="190"/>
      <c r="E87" s="187"/>
      <c r="F87" s="187"/>
      <c r="G87" s="187"/>
      <c r="H87" s="189">
        <v>39169900</v>
      </c>
      <c r="I87" s="204">
        <v>39169900</v>
      </c>
    </row>
    <row r="88" spans="1:9" ht="15.75" x14ac:dyDescent="0.25">
      <c r="A88" s="524">
        <v>3.4</v>
      </c>
      <c r="B88" s="528" t="s">
        <v>33</v>
      </c>
      <c r="C88" s="187"/>
      <c r="D88" s="190"/>
      <c r="E88" s="187"/>
      <c r="F88" s="187"/>
      <c r="G88" s="187"/>
      <c r="H88" s="187"/>
      <c r="I88" s="205"/>
    </row>
    <row r="89" spans="1:9" s="453" customFormat="1" ht="15.75" x14ac:dyDescent="0.25">
      <c r="A89" s="521"/>
      <c r="B89" s="523" t="s">
        <v>194</v>
      </c>
      <c r="C89" s="655">
        <v>51785.64</v>
      </c>
      <c r="D89" s="567">
        <v>5600</v>
      </c>
      <c r="E89" s="567">
        <v>289999584</v>
      </c>
      <c r="F89" s="652"/>
      <c r="G89" s="652"/>
      <c r="H89" s="652"/>
      <c r="I89" s="653">
        <v>289999584</v>
      </c>
    </row>
    <row r="90" spans="1:9" s="453" customFormat="1" ht="15.75" x14ac:dyDescent="0.25">
      <c r="A90" s="521"/>
      <c r="B90" s="525" t="s">
        <v>578</v>
      </c>
      <c r="C90" s="649">
        <v>57017.3</v>
      </c>
      <c r="D90" s="568"/>
      <c r="E90" s="656">
        <v>319296880</v>
      </c>
      <c r="F90" s="656">
        <v>6058</v>
      </c>
      <c r="G90" s="652"/>
      <c r="H90" s="656">
        <v>2573871041</v>
      </c>
      <c r="I90" s="657">
        <v>2893167921</v>
      </c>
    </row>
    <row r="91" spans="1:9" ht="15.75" x14ac:dyDescent="0.25">
      <c r="A91" s="521"/>
      <c r="B91" s="523"/>
      <c r="C91" s="187"/>
      <c r="D91" s="190"/>
      <c r="E91" s="187"/>
      <c r="F91" s="187"/>
      <c r="G91" s="187"/>
      <c r="H91" s="187"/>
      <c r="I91" s="205"/>
    </row>
    <row r="92" spans="1:9" s="453" customFormat="1" ht="16.5" thickBot="1" x14ac:dyDescent="0.3">
      <c r="A92" s="529"/>
      <c r="B92" s="530" t="s">
        <v>690</v>
      </c>
      <c r="C92" s="658">
        <v>133161.82999999999</v>
      </c>
      <c r="D92" s="569"/>
      <c r="E92" s="659">
        <v>745706248</v>
      </c>
      <c r="F92" s="658">
        <v>63243.09</v>
      </c>
      <c r="G92" s="660"/>
      <c r="H92" s="659">
        <v>10855298127</v>
      </c>
      <c r="I92" s="661">
        <v>11601004375</v>
      </c>
    </row>
  </sheetData>
  <scenarios current="9" sqref="AI19">
    <scenario name="C1" locked="1" count="1" user="Eduardo Carrasquilla Franco" comment="Creado por Eduardo Carrasquilla Franco el 14/07/2013">
      <inputCells r="AI21" val="10"/>
    </scenario>
    <scenario name="C2" locked="1" count="1" user="Eduardo Carrasquilla Franco" comment="Creado por Eduardo Carrasquilla Franco el 14/07/2013">
      <inputCells r="AI21" val="20"/>
    </scenario>
    <scenario name="C3" locked="1" count="1" user="Eduardo Carrasquilla Franco" comment="Creado por Eduardo Carrasquilla Franco el 14/07/2013">
      <inputCells r="AI21" val="30"/>
    </scenario>
    <scenario name="C4" locked="1" count="1" user="Eduardo Carrasquilla Franco" comment="Creado por Eduardo Carrasquilla Franco el 14/07/2013">
      <inputCells r="AI21" val="40"/>
    </scenario>
    <scenario name="C5" locked="1" count="1" user="Eduardo Carrasquilla Franco" comment="Creado por Eduardo Carrasquilla Franco el 14/07/2013">
      <inputCells r="AI21" val="50"/>
    </scenario>
    <scenario name="C6" locked="1" count="1" user="Eduardo Carrasquilla Franco" comment="Creado por Eduardo Carrasquilla Franco el 14/07/2013">
      <inputCells r="AI21" val="60"/>
    </scenario>
    <scenario name="C7" locked="1" count="1" user="Eduardo Carrasquilla Franco" comment="Creado por Eduardo Carrasquilla Franco el 14/07/2013">
      <inputCells r="AI21" val="70"/>
    </scenario>
    <scenario name="C8" locked="1" count="1" user="Eduardo Carrasquilla Franco" comment="Creado por Eduardo Carrasquilla Franco el 14/07/2013">
      <inputCells r="AI21" val="80"/>
    </scenario>
    <scenario name="C9" locked="1" count="1" user="Eduardo Carrasquilla Franco" comment="Creado por Eduardo Carrasquilla Franco el 14/07/2013">
      <inputCells r="AI21" val="90"/>
    </scenario>
    <scenario name="C10" locked="1" count="1" user="Eduardo Carrasquilla Franco" comment="Creado por Eduardo Carrasquilla Franco el 14/07/2013">
      <inputCells r="AI21" val="100"/>
    </scenario>
  </scenarios>
  <mergeCells count="28">
    <mergeCell ref="A35:B35"/>
    <mergeCell ref="A36:B36"/>
    <mergeCell ref="A37:B37"/>
    <mergeCell ref="A38:B38"/>
    <mergeCell ref="A40:B40"/>
    <mergeCell ref="A34:B34"/>
    <mergeCell ref="A17:B17"/>
    <mergeCell ref="A18:B18"/>
    <mergeCell ref="A21:B21"/>
    <mergeCell ref="A22:B22"/>
    <mergeCell ref="A23:B23"/>
    <mergeCell ref="A24:B24"/>
    <mergeCell ref="A25:B25"/>
    <mergeCell ref="A27:B27"/>
    <mergeCell ref="A28:B28"/>
    <mergeCell ref="A29:B29"/>
    <mergeCell ref="A30:B30"/>
    <mergeCell ref="A15:B15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</mergeCells>
  <pageMargins left="0.7" right="0.7" top="0.75" bottom="0.75" header="0.3" footer="0.3"/>
  <pageSetup scale="35" fitToWidth="3" orientation="landscape" r:id="rId1"/>
  <headerFooter>
    <oddHeader>&amp;C&amp;F-&amp;A-&amp;P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workbookViewId="0"/>
  </sheetViews>
  <sheetFormatPr baseColWidth="10" defaultColWidth="25.7109375" defaultRowHeight="15" x14ac:dyDescent="0.25"/>
  <sheetData>
    <row r="1" spans="1:16" x14ac:dyDescent="0.25">
      <c r="A1" t="s">
        <v>231</v>
      </c>
      <c r="B1" t="s">
        <v>232</v>
      </c>
    </row>
    <row r="2" spans="1:16" x14ac:dyDescent="0.25">
      <c r="A2" t="s">
        <v>233</v>
      </c>
      <c r="B2" t="s">
        <v>234</v>
      </c>
    </row>
    <row r="3" spans="1:16" x14ac:dyDescent="0.25">
      <c r="A3" t="s">
        <v>235</v>
      </c>
      <c r="B3" t="s">
        <v>234</v>
      </c>
    </row>
    <row r="4" spans="1:16" x14ac:dyDescent="0.25">
      <c r="A4" t="s">
        <v>236</v>
      </c>
      <c r="B4" t="s">
        <v>232</v>
      </c>
    </row>
    <row r="9" spans="1:16" x14ac:dyDescent="0.25">
      <c r="A9" t="s">
        <v>237</v>
      </c>
      <c r="B9">
        <v>2</v>
      </c>
    </row>
    <row r="10" spans="1:16" x14ac:dyDescent="0.25">
      <c r="A10" t="s">
        <v>238</v>
      </c>
      <c r="B10" t="s">
        <v>239</v>
      </c>
      <c r="C10" t="s">
        <v>240</v>
      </c>
      <c r="D10" t="s">
        <v>241</v>
      </c>
      <c r="E10" t="s">
        <v>242</v>
      </c>
      <c r="F10" t="s">
        <v>243</v>
      </c>
      <c r="G10" t="s">
        <v>244</v>
      </c>
      <c r="H10" t="s">
        <v>245</v>
      </c>
      <c r="I10" t="s">
        <v>246</v>
      </c>
      <c r="J10" t="s">
        <v>247</v>
      </c>
      <c r="K10" t="s">
        <v>248</v>
      </c>
      <c r="L10" t="s">
        <v>249</v>
      </c>
      <c r="M10" t="s">
        <v>250</v>
      </c>
      <c r="N10" t="s">
        <v>251</v>
      </c>
      <c r="O10" t="s">
        <v>252</v>
      </c>
    </row>
    <row r="11" spans="1:16" x14ac:dyDescent="0.25">
      <c r="A11" t="s">
        <v>253</v>
      </c>
      <c r="B11" s="288" t="s">
        <v>254</v>
      </c>
      <c r="C11" t="e">
        <f>'Ingresos&amp;Compensaciones'!$B$26:$B$36</f>
        <v>#VALUE!</v>
      </c>
      <c r="D11">
        <v>0</v>
      </c>
      <c r="E11" s="288" t="s">
        <v>255</v>
      </c>
      <c r="F11" t="s">
        <v>258</v>
      </c>
      <c r="J11" t="s">
        <v>256</v>
      </c>
      <c r="K11" t="s">
        <v>257</v>
      </c>
      <c r="O11">
        <v>4</v>
      </c>
      <c r="P11" t="b">
        <v>1</v>
      </c>
    </row>
    <row r="12" spans="1:16" x14ac:dyDescent="0.25">
      <c r="A12" t="s">
        <v>259</v>
      </c>
      <c r="B12" s="288" t="s">
        <v>260</v>
      </c>
      <c r="C12" s="289" t="e">
        <f>'Ingresos&amp;Compensaciones'!$N$26:$N$36</f>
        <v>#VALUE!</v>
      </c>
      <c r="D12">
        <v>0</v>
      </c>
      <c r="E12" s="288" t="s">
        <v>255</v>
      </c>
      <c r="F12" t="s">
        <v>261</v>
      </c>
      <c r="J12" t="s">
        <v>256</v>
      </c>
      <c r="K12" t="s">
        <v>257</v>
      </c>
      <c r="O12">
        <v>4</v>
      </c>
      <c r="P12" t="b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T49"/>
  <sheetViews>
    <sheetView zoomScale="110" zoomScaleNormal="110" workbookViewId="0">
      <pane xSplit="1" topLeftCell="AE1" activePane="topRight" state="frozen"/>
      <selection pane="topRight" sqref="A1:A1048576"/>
    </sheetView>
  </sheetViews>
  <sheetFormatPr baseColWidth="10" defaultColWidth="10.85546875" defaultRowHeight="15" x14ac:dyDescent="0.25"/>
  <cols>
    <col min="1" max="1" width="37.42578125" style="570" customWidth="1"/>
    <col min="2" max="2" width="25.28515625" style="33" bestFit="1" customWidth="1"/>
    <col min="3" max="3" width="16.28515625" style="33" customWidth="1"/>
    <col min="4" max="4" width="15.140625" style="33" customWidth="1"/>
    <col min="5" max="5" width="15.7109375" style="33" customWidth="1"/>
    <col min="6" max="6" width="15.85546875" style="33" customWidth="1"/>
    <col min="7" max="7" width="16.42578125" style="33" customWidth="1"/>
    <col min="8" max="8" width="14.28515625" style="33" customWidth="1"/>
    <col min="9" max="14" width="13.85546875" style="33" bestFit="1" customWidth="1"/>
    <col min="15" max="23" width="14.85546875" style="33" bestFit="1" customWidth="1"/>
    <col min="24" max="46" width="13.7109375" style="33" bestFit="1" customWidth="1"/>
    <col min="47" max="16384" width="10.85546875" style="33"/>
  </cols>
  <sheetData>
    <row r="1" spans="1:46" x14ac:dyDescent="0.25">
      <c r="A1" s="570" t="s">
        <v>650</v>
      </c>
      <c r="B1" s="41"/>
      <c r="C1" s="41"/>
      <c r="D1" s="41"/>
      <c r="E1" s="41"/>
      <c r="F1" s="41"/>
      <c r="G1" s="41"/>
      <c r="K1" s="49"/>
    </row>
    <row r="2" spans="1:46" x14ac:dyDescent="0.25">
      <c r="B2" s="41"/>
      <c r="C2" s="41"/>
      <c r="D2" s="41"/>
      <c r="E2" s="41"/>
      <c r="F2" s="41"/>
      <c r="G2" s="41"/>
    </row>
    <row r="3" spans="1:46" x14ac:dyDescent="0.25">
      <c r="A3" s="571" t="s">
        <v>651</v>
      </c>
      <c r="B3" s="40"/>
      <c r="C3" s="41"/>
      <c r="D3" s="41"/>
      <c r="E3" s="41"/>
      <c r="F3" s="41"/>
      <c r="G3" s="41"/>
    </row>
    <row r="4" spans="1:46" x14ac:dyDescent="0.25">
      <c r="A4" s="571"/>
      <c r="B4" s="351" t="s">
        <v>430</v>
      </c>
      <c r="C4" s="351" t="s">
        <v>431</v>
      </c>
      <c r="D4" s="41"/>
      <c r="E4" s="41"/>
      <c r="F4" s="41"/>
      <c r="G4" s="41"/>
    </row>
    <row r="5" spans="1:46" x14ac:dyDescent="0.25">
      <c r="A5" s="572" t="s">
        <v>691</v>
      </c>
      <c r="B5" s="59">
        <v>58938086235.599998</v>
      </c>
      <c r="C5" s="60">
        <f>'Refurbishment SVC'!E55*1900</f>
        <v>13993748900</v>
      </c>
      <c r="D5" s="41"/>
      <c r="E5" s="41"/>
      <c r="F5" s="41"/>
      <c r="G5" s="41"/>
    </row>
    <row r="6" spans="1:46" x14ac:dyDescent="0.25">
      <c r="A6" s="572" t="s">
        <v>653</v>
      </c>
      <c r="B6" s="64">
        <f>B5*E7</f>
        <v>41256660364.919998</v>
      </c>
      <c r="C6" s="64">
        <f>C5*E7</f>
        <v>9795624230</v>
      </c>
      <c r="E6" s="438" t="s">
        <v>84</v>
      </c>
      <c r="F6" s="439"/>
      <c r="G6" s="41"/>
    </row>
    <row r="7" spans="1:46" x14ac:dyDescent="0.25">
      <c r="A7" s="572" t="s">
        <v>654</v>
      </c>
      <c r="B7" s="65">
        <v>6.1199999999999997E-2</v>
      </c>
      <c r="C7" s="352">
        <v>4.2999999999999997E-2</v>
      </c>
      <c r="E7" s="48">
        <v>0.7</v>
      </c>
      <c r="F7" s="47" t="s">
        <v>82</v>
      </c>
      <c r="G7" s="41"/>
    </row>
    <row r="8" spans="1:46" x14ac:dyDescent="0.25">
      <c r="A8" s="572" t="s">
        <v>81</v>
      </c>
      <c r="B8" s="66">
        <v>30</v>
      </c>
      <c r="C8" s="66">
        <v>16</v>
      </c>
      <c r="E8" s="46">
        <f>1-E7</f>
        <v>0.30000000000000004</v>
      </c>
      <c r="F8" s="45" t="s">
        <v>80</v>
      </c>
      <c r="G8" s="41"/>
    </row>
    <row r="9" spans="1:46" x14ac:dyDescent="0.25">
      <c r="A9" s="573" t="s">
        <v>655</v>
      </c>
      <c r="B9" s="59">
        <v>0</v>
      </c>
      <c r="C9" s="59">
        <v>0</v>
      </c>
      <c r="D9" s="41"/>
      <c r="E9" s="41"/>
      <c r="F9" s="41"/>
      <c r="G9" s="41"/>
    </row>
    <row r="10" spans="1:46" x14ac:dyDescent="0.25">
      <c r="A10" s="573" t="s">
        <v>656</v>
      </c>
      <c r="B10" s="59">
        <v>30</v>
      </c>
      <c r="C10" s="59">
        <v>17</v>
      </c>
      <c r="D10" s="44"/>
      <c r="E10" s="43"/>
      <c r="F10" s="41"/>
      <c r="G10" s="41"/>
    </row>
    <row r="11" spans="1:46" x14ac:dyDescent="0.25">
      <c r="A11" s="572" t="s">
        <v>657</v>
      </c>
      <c r="B11" s="67">
        <v>0.01</v>
      </c>
      <c r="C11" s="67">
        <v>0.01</v>
      </c>
      <c r="D11" s="42"/>
      <c r="E11" s="42"/>
      <c r="F11" s="41"/>
      <c r="G11" s="41"/>
    </row>
    <row r="12" spans="1:46" x14ac:dyDescent="0.25">
      <c r="A12" s="572" t="s">
        <v>79</v>
      </c>
      <c r="B12" s="68" t="s">
        <v>78</v>
      </c>
      <c r="C12" s="68" t="s">
        <v>78</v>
      </c>
      <c r="D12" s="42"/>
      <c r="E12" s="42"/>
      <c r="F12" s="41"/>
      <c r="G12" s="41"/>
    </row>
    <row r="13" spans="1:46" x14ac:dyDescent="0.25">
      <c r="A13" s="573" t="s">
        <v>77</v>
      </c>
      <c r="B13" s="69">
        <v>0.33</v>
      </c>
      <c r="C13" s="69">
        <v>0.33</v>
      </c>
      <c r="D13" s="42"/>
      <c r="E13" s="42"/>
      <c r="F13" s="41"/>
      <c r="G13" s="41"/>
      <c r="Q13" s="33">
        <f>Q22-P22</f>
        <v>67682569.231214523</v>
      </c>
    </row>
    <row r="14" spans="1:46" x14ac:dyDescent="0.25">
      <c r="B14" s="41"/>
      <c r="C14" s="42"/>
      <c r="D14" s="42"/>
      <c r="E14" s="42"/>
      <c r="F14" s="41"/>
      <c r="G14" s="41"/>
    </row>
    <row r="15" spans="1:46" x14ac:dyDescent="0.25">
      <c r="A15" s="574" t="s">
        <v>122</v>
      </c>
      <c r="B15" s="107">
        <v>1999</v>
      </c>
      <c r="C15" s="107">
        <v>2000</v>
      </c>
      <c r="D15" s="107">
        <v>2001</v>
      </c>
      <c r="E15" s="107">
        <v>2002</v>
      </c>
      <c r="F15" s="107">
        <v>2003</v>
      </c>
      <c r="G15" s="107">
        <v>2004</v>
      </c>
      <c r="H15" s="107">
        <v>2005</v>
      </c>
      <c r="I15" s="107">
        <v>2006</v>
      </c>
      <c r="J15" s="107">
        <v>2007</v>
      </c>
      <c r="K15" s="107">
        <v>2008</v>
      </c>
      <c r="L15" s="107">
        <v>2009</v>
      </c>
      <c r="M15" s="107">
        <v>2010</v>
      </c>
      <c r="N15" s="107">
        <v>2011</v>
      </c>
      <c r="O15" s="107">
        <v>2012</v>
      </c>
      <c r="P15" s="107">
        <v>2013</v>
      </c>
      <c r="Q15" s="107">
        <v>2014</v>
      </c>
      <c r="R15" s="107">
        <v>2015</v>
      </c>
      <c r="S15" s="107">
        <v>2016</v>
      </c>
      <c r="T15" s="107">
        <v>2017</v>
      </c>
      <c r="U15" s="107">
        <v>2018</v>
      </c>
      <c r="V15" s="107">
        <v>2019</v>
      </c>
      <c r="W15" s="107">
        <v>2020</v>
      </c>
      <c r="X15" s="107">
        <v>2021</v>
      </c>
      <c r="Y15" s="107">
        <v>2022</v>
      </c>
      <c r="Z15" s="107">
        <v>2023</v>
      </c>
      <c r="AA15" s="107">
        <v>2024</v>
      </c>
      <c r="AB15" s="107">
        <v>2025</v>
      </c>
      <c r="AC15" s="107">
        <v>2026</v>
      </c>
      <c r="AD15" s="107">
        <v>2027</v>
      </c>
      <c r="AE15" s="107">
        <v>2028</v>
      </c>
      <c r="AF15" s="107">
        <v>2029</v>
      </c>
      <c r="AG15" s="107">
        <v>2030</v>
      </c>
      <c r="AH15" s="107">
        <v>2031</v>
      </c>
      <c r="AI15" s="107">
        <v>2032</v>
      </c>
      <c r="AJ15" s="107">
        <v>2033</v>
      </c>
      <c r="AK15" s="107">
        <v>2034</v>
      </c>
      <c r="AL15" s="107">
        <v>2035</v>
      </c>
      <c r="AM15" s="107">
        <v>2036</v>
      </c>
      <c r="AN15" s="107">
        <v>2037</v>
      </c>
      <c r="AO15" s="107">
        <v>2038</v>
      </c>
      <c r="AP15" s="107">
        <v>2039</v>
      </c>
      <c r="AQ15" s="107">
        <v>2040</v>
      </c>
      <c r="AR15" s="107">
        <v>2041</v>
      </c>
      <c r="AS15" s="107">
        <v>2042</v>
      </c>
      <c r="AT15" s="107">
        <v>2043</v>
      </c>
    </row>
    <row r="16" spans="1:46" x14ac:dyDescent="0.25">
      <c r="A16" s="571" t="s">
        <v>658</v>
      </c>
      <c r="B16" s="41"/>
      <c r="C16" s="41"/>
      <c r="D16" s="41"/>
      <c r="E16" s="41"/>
      <c r="F16" s="41"/>
      <c r="G16" s="41"/>
      <c r="Q16" s="62">
        <v>1</v>
      </c>
      <c r="R16" s="62">
        <v>2</v>
      </c>
      <c r="S16" s="62">
        <v>3</v>
      </c>
      <c r="T16" s="62">
        <v>4</v>
      </c>
      <c r="U16" s="62">
        <v>5</v>
      </c>
      <c r="V16" s="62">
        <v>6</v>
      </c>
      <c r="W16" s="62">
        <v>7</v>
      </c>
      <c r="X16" s="62">
        <v>8</v>
      </c>
      <c r="Y16" s="62">
        <v>9</v>
      </c>
      <c r="Z16" s="62">
        <v>10</v>
      </c>
      <c r="AA16" s="62">
        <v>11</v>
      </c>
      <c r="AB16" s="62">
        <v>12</v>
      </c>
      <c r="AC16" s="62">
        <v>13</v>
      </c>
      <c r="AD16" s="62">
        <v>14</v>
      </c>
      <c r="AE16" s="62">
        <v>15</v>
      </c>
      <c r="AF16" s="62">
        <v>16</v>
      </c>
      <c r="AG16" s="62">
        <v>17</v>
      </c>
      <c r="AH16" s="62">
        <v>18</v>
      </c>
      <c r="AI16" s="62">
        <v>19</v>
      </c>
      <c r="AJ16" s="62">
        <v>20</v>
      </c>
      <c r="AK16" s="62">
        <v>21</v>
      </c>
      <c r="AL16" s="62">
        <v>22</v>
      </c>
      <c r="AM16" s="62">
        <v>23</v>
      </c>
      <c r="AN16" s="62">
        <v>24</v>
      </c>
      <c r="AO16" s="62">
        <v>25</v>
      </c>
      <c r="AP16" s="62">
        <v>26</v>
      </c>
      <c r="AQ16" s="62">
        <v>27</v>
      </c>
      <c r="AR16" s="62">
        <v>28</v>
      </c>
      <c r="AS16" s="62">
        <v>29</v>
      </c>
      <c r="AT16" s="62">
        <v>30</v>
      </c>
    </row>
    <row r="17" spans="1:46" x14ac:dyDescent="0.25">
      <c r="A17" s="575" t="s">
        <v>76</v>
      </c>
      <c r="B17" s="62">
        <v>0</v>
      </c>
      <c r="C17" s="62">
        <v>1</v>
      </c>
      <c r="D17" s="62">
        <v>2</v>
      </c>
      <c r="E17" s="62">
        <v>3</v>
      </c>
      <c r="F17" s="62">
        <v>4</v>
      </c>
      <c r="G17" s="62">
        <v>5</v>
      </c>
      <c r="H17" s="62">
        <v>6</v>
      </c>
      <c r="I17" s="62">
        <v>7</v>
      </c>
      <c r="J17" s="62">
        <v>8</v>
      </c>
      <c r="K17" s="62">
        <v>9</v>
      </c>
      <c r="L17" s="62">
        <v>10</v>
      </c>
      <c r="M17" s="62">
        <v>11</v>
      </c>
      <c r="N17" s="62">
        <v>12</v>
      </c>
      <c r="O17" s="62">
        <v>13</v>
      </c>
      <c r="P17" s="62">
        <v>14</v>
      </c>
      <c r="Q17" s="62">
        <v>15</v>
      </c>
      <c r="R17" s="62">
        <v>16</v>
      </c>
      <c r="S17" s="62">
        <v>17</v>
      </c>
      <c r="T17" s="62">
        <v>18</v>
      </c>
      <c r="U17" s="62">
        <v>19</v>
      </c>
      <c r="V17" s="62">
        <v>20</v>
      </c>
      <c r="W17" s="62">
        <v>21</v>
      </c>
      <c r="X17" s="62">
        <v>22</v>
      </c>
      <c r="Y17" s="62">
        <v>23</v>
      </c>
      <c r="Z17" s="62">
        <v>24</v>
      </c>
      <c r="AA17" s="62">
        <v>25</v>
      </c>
      <c r="AB17" s="62">
        <v>26</v>
      </c>
      <c r="AC17" s="62">
        <v>27</v>
      </c>
      <c r="AD17" s="62">
        <v>28</v>
      </c>
      <c r="AE17" s="62">
        <v>29</v>
      </c>
      <c r="AF17" s="62">
        <v>30</v>
      </c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46" x14ac:dyDescent="0.25">
      <c r="A18" s="573" t="s">
        <v>692</v>
      </c>
      <c r="B18" s="60">
        <v>0</v>
      </c>
      <c r="C18" s="60">
        <f>-PMT(B7,B10,B6)</f>
        <v>3035837465.3039126</v>
      </c>
      <c r="D18" s="60">
        <f>C18</f>
        <v>3035837465.3039126</v>
      </c>
      <c r="E18" s="60">
        <f t="shared" ref="E18:AF19" si="0">D18</f>
        <v>3035837465.3039126</v>
      </c>
      <c r="F18" s="60">
        <f t="shared" si="0"/>
        <v>3035837465.3039126</v>
      </c>
      <c r="G18" s="60">
        <f t="shared" si="0"/>
        <v>3035837465.3039126</v>
      </c>
      <c r="H18" s="60">
        <f t="shared" si="0"/>
        <v>3035837465.3039126</v>
      </c>
      <c r="I18" s="60">
        <f t="shared" si="0"/>
        <v>3035837465.3039126</v>
      </c>
      <c r="J18" s="60">
        <f t="shared" si="0"/>
        <v>3035837465.3039126</v>
      </c>
      <c r="K18" s="60">
        <f t="shared" si="0"/>
        <v>3035837465.3039126</v>
      </c>
      <c r="L18" s="60">
        <f t="shared" si="0"/>
        <v>3035837465.3039126</v>
      </c>
      <c r="M18" s="60">
        <f t="shared" si="0"/>
        <v>3035837465.3039126</v>
      </c>
      <c r="N18" s="60">
        <f t="shared" si="0"/>
        <v>3035837465.3039126</v>
      </c>
      <c r="O18" s="60">
        <f t="shared" si="0"/>
        <v>3035837465.3039126</v>
      </c>
      <c r="P18" s="60">
        <f t="shared" si="0"/>
        <v>3035837465.3039126</v>
      </c>
      <c r="Q18" s="353">
        <f>P18</f>
        <v>3035837465.3039126</v>
      </c>
      <c r="R18" s="60">
        <f t="shared" si="0"/>
        <v>3035837465.3039126</v>
      </c>
      <c r="S18" s="60">
        <f t="shared" si="0"/>
        <v>3035837465.3039126</v>
      </c>
      <c r="T18" s="60">
        <f t="shared" si="0"/>
        <v>3035837465.3039126</v>
      </c>
      <c r="U18" s="60">
        <f t="shared" si="0"/>
        <v>3035837465.3039126</v>
      </c>
      <c r="V18" s="60">
        <f t="shared" si="0"/>
        <v>3035837465.3039126</v>
      </c>
      <c r="W18" s="60">
        <f t="shared" si="0"/>
        <v>3035837465.3039126</v>
      </c>
      <c r="X18" s="60">
        <f t="shared" si="0"/>
        <v>3035837465.3039126</v>
      </c>
      <c r="Y18" s="60">
        <f t="shared" si="0"/>
        <v>3035837465.3039126</v>
      </c>
      <c r="Z18" s="60">
        <f t="shared" si="0"/>
        <v>3035837465.3039126</v>
      </c>
      <c r="AA18" s="60">
        <f t="shared" si="0"/>
        <v>3035837465.3039126</v>
      </c>
      <c r="AB18" s="60">
        <f t="shared" si="0"/>
        <v>3035837465.3039126</v>
      </c>
      <c r="AC18" s="60">
        <f t="shared" si="0"/>
        <v>3035837465.3039126</v>
      </c>
      <c r="AD18" s="60">
        <f t="shared" si="0"/>
        <v>3035837465.3039126</v>
      </c>
      <c r="AE18" s="60">
        <f t="shared" si="0"/>
        <v>3035837465.3039126</v>
      </c>
      <c r="AF18" s="60">
        <f t="shared" si="0"/>
        <v>3035837465.3039126</v>
      </c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</row>
    <row r="19" spans="1:46" x14ac:dyDescent="0.25">
      <c r="A19" s="573" t="s">
        <v>693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353">
        <f>+(-1*PMT(C7,C8,C6))</f>
        <v>859370723.7241019</v>
      </c>
      <c r="R19" s="60">
        <f t="shared" si="0"/>
        <v>859370723.7241019</v>
      </c>
      <c r="S19" s="60">
        <f t="shared" si="0"/>
        <v>859370723.7241019</v>
      </c>
      <c r="T19" s="60">
        <f t="shared" si="0"/>
        <v>859370723.7241019</v>
      </c>
      <c r="U19" s="60">
        <f t="shared" si="0"/>
        <v>859370723.7241019</v>
      </c>
      <c r="V19" s="60">
        <f t="shared" si="0"/>
        <v>859370723.7241019</v>
      </c>
      <c r="W19" s="60">
        <f t="shared" si="0"/>
        <v>859370723.7241019</v>
      </c>
      <c r="X19" s="60">
        <f t="shared" si="0"/>
        <v>859370723.7241019</v>
      </c>
      <c r="Y19" s="60">
        <f t="shared" si="0"/>
        <v>859370723.7241019</v>
      </c>
      <c r="Z19" s="60">
        <f t="shared" si="0"/>
        <v>859370723.7241019</v>
      </c>
      <c r="AA19" s="60">
        <f t="shared" si="0"/>
        <v>859370723.7241019</v>
      </c>
      <c r="AB19" s="60">
        <f t="shared" si="0"/>
        <v>859370723.7241019</v>
      </c>
      <c r="AC19" s="60">
        <f t="shared" si="0"/>
        <v>859370723.7241019</v>
      </c>
      <c r="AD19" s="60">
        <f t="shared" si="0"/>
        <v>859370723.7241019</v>
      </c>
      <c r="AE19" s="60">
        <f t="shared" si="0"/>
        <v>859370723.7241019</v>
      </c>
      <c r="AF19" s="60">
        <f t="shared" si="0"/>
        <v>859370723.7241019</v>
      </c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</row>
    <row r="20" spans="1:46" x14ac:dyDescent="0.25">
      <c r="A20" s="573" t="s">
        <v>694</v>
      </c>
      <c r="B20" s="60">
        <v>0</v>
      </c>
      <c r="C20" s="60">
        <f>B24*B7</f>
        <v>2524907614.3331037</v>
      </c>
      <c r="D20" s="60">
        <f>C24*B7</f>
        <v>2493638707.4536901</v>
      </c>
      <c r="E20" s="60">
        <f>D24*B7</f>
        <v>2460456143.4732566</v>
      </c>
      <c r="F20" s="60">
        <f t="shared" ref="F20:Q20" si="1">E24*$B$7</f>
        <v>2425242806.5772204</v>
      </c>
      <c r="G20" s="60">
        <f t="shared" si="1"/>
        <v>2387874413.4631472</v>
      </c>
      <c r="H20" s="60">
        <f t="shared" si="1"/>
        <v>2348219074.6904922</v>
      </c>
      <c r="I20" s="60">
        <f t="shared" si="1"/>
        <v>2306136829.1849508</v>
      </c>
      <c r="J20" s="60">
        <f t="shared" si="1"/>
        <v>2261479150.2544703</v>
      </c>
      <c r="K20" s="60">
        <f t="shared" si="1"/>
        <v>2214088421.3734441</v>
      </c>
      <c r="L20" s="60">
        <f t="shared" si="1"/>
        <v>2163797379.8848996</v>
      </c>
      <c r="M20" s="60">
        <f t="shared" si="1"/>
        <v>2110428526.6572559</v>
      </c>
      <c r="N20" s="60">
        <f t="shared" si="1"/>
        <v>2053793499.6120806</v>
      </c>
      <c r="O20" s="60">
        <f t="shared" si="1"/>
        <v>1993692408.9117403</v>
      </c>
      <c r="P20" s="60">
        <f t="shared" si="1"/>
        <v>1929913131.4605393</v>
      </c>
      <c r="Q20" s="60">
        <f t="shared" si="1"/>
        <v>1862230562.2293248</v>
      </c>
      <c r="R20" s="60">
        <f t="shared" ref="R20:AF20" si="2">Q24*$B$7</f>
        <v>1790405819.7611601</v>
      </c>
      <c r="S20" s="60">
        <f t="shared" si="2"/>
        <v>1714185403.0539436</v>
      </c>
      <c r="T20" s="60">
        <f t="shared" si="2"/>
        <v>1633300296.8442457</v>
      </c>
      <c r="U20" s="60">
        <f t="shared" si="2"/>
        <v>1547465022.1345139</v>
      </c>
      <c r="V20" s="60">
        <f t="shared" si="2"/>
        <v>1456376628.6125467</v>
      </c>
      <c r="W20" s="60">
        <f t="shared" si="2"/>
        <v>1359713625.4070351</v>
      </c>
      <c r="X20" s="60">
        <f t="shared" si="2"/>
        <v>1257134846.4053464</v>
      </c>
      <c r="Y20" s="60">
        <f t="shared" si="2"/>
        <v>1148278246.1287541</v>
      </c>
      <c r="Z20" s="60">
        <f t="shared" si="2"/>
        <v>1032759621.9152343</v>
      </c>
      <c r="AA20" s="60">
        <f t="shared" si="2"/>
        <v>910171257.89984715</v>
      </c>
      <c r="AB20" s="60">
        <f t="shared" si="2"/>
        <v>780080486.0067184</v>
      </c>
      <c r="AC20" s="60">
        <f t="shared" si="2"/>
        <v>642028158.87373006</v>
      </c>
      <c r="AD20" s="60">
        <f t="shared" si="2"/>
        <v>495527029.32020283</v>
      </c>
      <c r="AE20" s="60">
        <f t="shared" si="2"/>
        <v>340060030.63799977</v>
      </c>
      <c r="AF20" s="60">
        <f t="shared" si="2"/>
        <v>175078451.63644594</v>
      </c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46" x14ac:dyDescent="0.25">
      <c r="A21" s="573" t="s">
        <v>695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353">
        <f>P25*$C$7</f>
        <v>421211841.88999999</v>
      </c>
      <c r="R21" s="353">
        <f t="shared" ref="R21:AG21" si="3">Q25*$C$7</f>
        <v>402371009.97113353</v>
      </c>
      <c r="S21" s="353">
        <f t="shared" si="3"/>
        <v>382720022.27975595</v>
      </c>
      <c r="T21" s="353">
        <f t="shared" si="3"/>
        <v>362224042.11764908</v>
      </c>
      <c r="U21" s="353">
        <f t="shared" si="3"/>
        <v>340846734.80857164</v>
      </c>
      <c r="V21" s="353">
        <f t="shared" si="3"/>
        <v>318550203.28520381</v>
      </c>
      <c r="W21" s="353">
        <f t="shared" si="3"/>
        <v>295294920.90633118</v>
      </c>
      <c r="X21" s="353">
        <f t="shared" si="3"/>
        <v>271039661.38516706</v>
      </c>
      <c r="Y21" s="353">
        <f t="shared" si="3"/>
        <v>245741425.70459285</v>
      </c>
      <c r="Z21" s="353">
        <f t="shared" si="3"/>
        <v>219355365.88975394</v>
      </c>
      <c r="AA21" s="353">
        <f t="shared" si="3"/>
        <v>191834705.502877</v>
      </c>
      <c r="AB21" s="353">
        <f t="shared" si="3"/>
        <v>163130656.71936435</v>
      </c>
      <c r="AC21" s="353">
        <f t="shared" si="3"/>
        <v>133192333.83816062</v>
      </c>
      <c r="AD21" s="353">
        <f t="shared" si="3"/>
        <v>101966663.07306513</v>
      </c>
      <c r="AE21" s="353">
        <f t="shared" si="3"/>
        <v>69398288.465070561</v>
      </c>
      <c r="AF21" s="353">
        <f t="shared" si="3"/>
        <v>35429473.748932213</v>
      </c>
      <c r="AG21" s="353">
        <f t="shared" si="3"/>
        <v>-8.2015991210937493E-8</v>
      </c>
      <c r="AH21" s="353"/>
      <c r="AI21" s="353"/>
      <c r="AJ21" s="353"/>
      <c r="AK21" s="353"/>
      <c r="AL21" s="353"/>
      <c r="AM21" s="353"/>
      <c r="AN21" s="353"/>
      <c r="AO21" s="353"/>
      <c r="AP21" s="353"/>
      <c r="AQ21" s="353"/>
      <c r="AR21" s="353"/>
      <c r="AS21" s="353"/>
      <c r="AT21" s="353"/>
    </row>
    <row r="22" spans="1:46" x14ac:dyDescent="0.25">
      <c r="A22" s="573" t="s">
        <v>696</v>
      </c>
      <c r="B22" s="60">
        <v>0</v>
      </c>
      <c r="C22" s="60">
        <f t="shared" ref="C22:Q22" si="4">C18-C20</f>
        <v>510929850.97080898</v>
      </c>
      <c r="D22" s="60">
        <f t="shared" si="4"/>
        <v>542198757.85022259</v>
      </c>
      <c r="E22" s="60">
        <f t="shared" si="4"/>
        <v>575381321.83065605</v>
      </c>
      <c r="F22" s="60">
        <f t="shared" si="4"/>
        <v>610594658.7266922</v>
      </c>
      <c r="G22" s="60">
        <f t="shared" si="4"/>
        <v>647963051.84076548</v>
      </c>
      <c r="H22" s="60">
        <f t="shared" si="4"/>
        <v>687618390.61342049</v>
      </c>
      <c r="I22" s="60">
        <f t="shared" si="4"/>
        <v>729700636.11896181</v>
      </c>
      <c r="J22" s="60">
        <f t="shared" si="4"/>
        <v>774358315.04944229</v>
      </c>
      <c r="K22" s="60">
        <f t="shared" si="4"/>
        <v>821749043.93046856</v>
      </c>
      <c r="L22" s="60">
        <f t="shared" si="4"/>
        <v>872040085.41901302</v>
      </c>
      <c r="M22" s="60">
        <f t="shared" si="4"/>
        <v>925408938.64665675</v>
      </c>
      <c r="N22" s="60">
        <f t="shared" si="4"/>
        <v>982043965.69183207</v>
      </c>
      <c r="O22" s="60">
        <f t="shared" si="4"/>
        <v>1042145056.3921723</v>
      </c>
      <c r="P22" s="60">
        <f t="shared" si="4"/>
        <v>1105924333.8433733</v>
      </c>
      <c r="Q22" s="353">
        <f t="shared" si="4"/>
        <v>1173606903.0745878</v>
      </c>
      <c r="R22" s="353">
        <f t="shared" ref="R22:AF22" si="5">R18-R20</f>
        <v>1245431645.5427525</v>
      </c>
      <c r="S22" s="353">
        <f t="shared" si="5"/>
        <v>1321652062.249969</v>
      </c>
      <c r="T22" s="353">
        <f t="shared" si="5"/>
        <v>1402537168.459667</v>
      </c>
      <c r="U22" s="353">
        <f t="shared" si="5"/>
        <v>1488372443.1693988</v>
      </c>
      <c r="V22" s="353">
        <f t="shared" si="5"/>
        <v>1579460836.691366</v>
      </c>
      <c r="W22" s="353">
        <f t="shared" si="5"/>
        <v>1676123839.8968775</v>
      </c>
      <c r="X22" s="353">
        <f t="shared" si="5"/>
        <v>1778702618.8985662</v>
      </c>
      <c r="Y22" s="353">
        <f t="shared" si="5"/>
        <v>1887559219.1751585</v>
      </c>
      <c r="Z22" s="353">
        <f t="shared" si="5"/>
        <v>2003077843.3886783</v>
      </c>
      <c r="AA22" s="353">
        <f t="shared" si="5"/>
        <v>2125666207.4040656</v>
      </c>
      <c r="AB22" s="353">
        <f t="shared" si="5"/>
        <v>2255756979.2971945</v>
      </c>
      <c r="AC22" s="353">
        <f t="shared" si="5"/>
        <v>2393809306.4301825</v>
      </c>
      <c r="AD22" s="353">
        <f t="shared" si="5"/>
        <v>2540310435.9837098</v>
      </c>
      <c r="AE22" s="353">
        <f t="shared" si="5"/>
        <v>2695777434.6659126</v>
      </c>
      <c r="AF22" s="353">
        <f t="shared" si="5"/>
        <v>2860759013.6674666</v>
      </c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46" x14ac:dyDescent="0.25">
      <c r="A23" s="573" t="s">
        <v>697</v>
      </c>
      <c r="B23" s="354"/>
      <c r="C23" s="354"/>
      <c r="D23" s="354"/>
      <c r="E23" s="354"/>
      <c r="F23" s="354"/>
      <c r="G23" s="354"/>
      <c r="H23" s="354"/>
      <c r="I23" s="354"/>
      <c r="J23" s="354"/>
      <c r="K23" s="354"/>
      <c r="L23" s="354"/>
      <c r="M23" s="354"/>
      <c r="N23" s="354"/>
      <c r="O23" s="354"/>
      <c r="P23" s="354"/>
      <c r="Q23" s="355">
        <f>Q19-Q21</f>
        <v>438158881.83410192</v>
      </c>
      <c r="R23" s="355">
        <f t="shared" ref="R23:AF23" si="6">R19-R21</f>
        <v>456999713.75296837</v>
      </c>
      <c r="S23" s="355">
        <f t="shared" si="6"/>
        <v>476650701.44434595</v>
      </c>
      <c r="T23" s="355">
        <f t="shared" si="6"/>
        <v>497146681.60645282</v>
      </c>
      <c r="U23" s="355">
        <f t="shared" si="6"/>
        <v>518523988.91553026</v>
      </c>
      <c r="V23" s="355">
        <f t="shared" si="6"/>
        <v>540820520.43889809</v>
      </c>
      <c r="W23" s="355">
        <f t="shared" si="6"/>
        <v>564075802.81777072</v>
      </c>
      <c r="X23" s="355">
        <f t="shared" si="6"/>
        <v>588331062.3389349</v>
      </c>
      <c r="Y23" s="355">
        <f t="shared" si="6"/>
        <v>613629298.01950908</v>
      </c>
      <c r="Z23" s="355">
        <f t="shared" si="6"/>
        <v>640015357.83434796</v>
      </c>
      <c r="AA23" s="355">
        <f t="shared" si="6"/>
        <v>667536018.2212249</v>
      </c>
      <c r="AB23" s="355">
        <f t="shared" si="6"/>
        <v>696240067.00473762</v>
      </c>
      <c r="AC23" s="355">
        <f t="shared" si="6"/>
        <v>726178389.88594127</v>
      </c>
      <c r="AD23" s="355">
        <f t="shared" si="6"/>
        <v>757404060.65103674</v>
      </c>
      <c r="AE23" s="355">
        <f t="shared" si="6"/>
        <v>789972435.2590313</v>
      </c>
      <c r="AF23" s="355">
        <f t="shared" si="6"/>
        <v>823941249.97516966</v>
      </c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46" x14ac:dyDescent="0.25">
      <c r="A24" s="573" t="s">
        <v>698</v>
      </c>
      <c r="B24" s="354">
        <f>+B6</f>
        <v>41256660364.919998</v>
      </c>
      <c r="C24" s="354">
        <f>+B24-C22</f>
        <v>40745730513.949188</v>
      </c>
      <c r="D24" s="354">
        <f>+C24-D22</f>
        <v>40203531756.098969</v>
      </c>
      <c r="E24" s="354">
        <f>D24-E22</f>
        <v>39628150434.268311</v>
      </c>
      <c r="F24" s="354">
        <f>+E24-F22</f>
        <v>39017555775.541618</v>
      </c>
      <c r="G24" s="354">
        <f>+F24-G22</f>
        <v>38369592723.700851</v>
      </c>
      <c r="H24" s="354">
        <f t="shared" ref="H24:P24" si="7">+G24-H22</f>
        <v>37681974333.087433</v>
      </c>
      <c r="I24" s="354">
        <f t="shared" si="7"/>
        <v>36952273696.968468</v>
      </c>
      <c r="J24" s="354">
        <f t="shared" si="7"/>
        <v>36177915381.919022</v>
      </c>
      <c r="K24" s="354">
        <f t="shared" si="7"/>
        <v>35356166337.988556</v>
      </c>
      <c r="L24" s="354">
        <f t="shared" si="7"/>
        <v>34484126252.569542</v>
      </c>
      <c r="M24" s="354">
        <f t="shared" si="7"/>
        <v>33558717313.922886</v>
      </c>
      <c r="N24" s="354">
        <f t="shared" si="7"/>
        <v>32576673348.231052</v>
      </c>
      <c r="O24" s="354">
        <f t="shared" si="7"/>
        <v>31534528291.838879</v>
      </c>
      <c r="P24" s="354">
        <f t="shared" si="7"/>
        <v>30428603957.995506</v>
      </c>
      <c r="Q24" s="355">
        <f>+P24-Q22</f>
        <v>29254997054.920918</v>
      </c>
      <c r="R24" s="355">
        <f t="shared" ref="R24:AF24" si="8">+Q24-R22</f>
        <v>28009565409.378166</v>
      </c>
      <c r="S24" s="355">
        <f t="shared" si="8"/>
        <v>26687913347.128197</v>
      </c>
      <c r="T24" s="355">
        <f t="shared" si="8"/>
        <v>25285376178.66853</v>
      </c>
      <c r="U24" s="355">
        <f t="shared" si="8"/>
        <v>23797003735.49913</v>
      </c>
      <c r="V24" s="355">
        <f t="shared" si="8"/>
        <v>22217542898.807766</v>
      </c>
      <c r="W24" s="355">
        <f t="shared" si="8"/>
        <v>20541419058.910889</v>
      </c>
      <c r="X24" s="355">
        <f t="shared" si="8"/>
        <v>18762716440.012321</v>
      </c>
      <c r="Y24" s="355">
        <f t="shared" si="8"/>
        <v>16875157220.837162</v>
      </c>
      <c r="Z24" s="355">
        <f t="shared" si="8"/>
        <v>14872079377.448484</v>
      </c>
      <c r="AA24" s="355">
        <f t="shared" si="8"/>
        <v>12746413170.044418</v>
      </c>
      <c r="AB24" s="355">
        <f t="shared" si="8"/>
        <v>10490656190.747223</v>
      </c>
      <c r="AC24" s="355">
        <f t="shared" si="8"/>
        <v>8096846884.3170404</v>
      </c>
      <c r="AD24" s="355">
        <f t="shared" si="8"/>
        <v>5556536448.3333302</v>
      </c>
      <c r="AE24" s="355">
        <f t="shared" si="8"/>
        <v>2860759013.6674175</v>
      </c>
      <c r="AF24" s="355">
        <f t="shared" si="8"/>
        <v>-4.9114227294921875E-5</v>
      </c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46" x14ac:dyDescent="0.25">
      <c r="A25" s="573" t="s">
        <v>699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353">
        <f>C6</f>
        <v>9795624230</v>
      </c>
      <c r="Q25" s="353">
        <f>P25-(Q19-Q21)</f>
        <v>9357465348.1658974</v>
      </c>
      <c r="R25" s="353">
        <f t="shared" ref="R25:AG25" si="9">Q25-(R19-R21)</f>
        <v>8900465634.4129295</v>
      </c>
      <c r="S25" s="353">
        <f t="shared" si="9"/>
        <v>8423814932.9685841</v>
      </c>
      <c r="T25" s="353">
        <f t="shared" si="9"/>
        <v>7926668251.3621311</v>
      </c>
      <c r="U25" s="353">
        <f t="shared" si="9"/>
        <v>7408144262.4466009</v>
      </c>
      <c r="V25" s="353">
        <f t="shared" si="9"/>
        <v>6867323742.0077028</v>
      </c>
      <c r="W25" s="353">
        <f t="shared" si="9"/>
        <v>6303247939.1899319</v>
      </c>
      <c r="X25" s="353">
        <f t="shared" si="9"/>
        <v>5714916876.850997</v>
      </c>
      <c r="Y25" s="353">
        <f t="shared" si="9"/>
        <v>5101287578.8314877</v>
      </c>
      <c r="Z25" s="353">
        <f t="shared" si="9"/>
        <v>4461272220.9971399</v>
      </c>
      <c r="AA25" s="353">
        <f t="shared" si="9"/>
        <v>3793736202.7759151</v>
      </c>
      <c r="AB25" s="353">
        <f t="shared" si="9"/>
        <v>3097496135.7711773</v>
      </c>
      <c r="AC25" s="353">
        <f t="shared" si="9"/>
        <v>2371317745.8852358</v>
      </c>
      <c r="AD25" s="353">
        <f t="shared" si="9"/>
        <v>1613913685.234199</v>
      </c>
      <c r="AE25" s="353">
        <f t="shared" si="9"/>
        <v>823941249.97516775</v>
      </c>
      <c r="AF25" s="353">
        <f t="shared" si="9"/>
        <v>-1.9073486328125E-6</v>
      </c>
      <c r="AG25" s="353">
        <f t="shared" si="9"/>
        <v>-1.9893646240234374E-6</v>
      </c>
      <c r="AH25" s="353"/>
      <c r="AI25" s="353"/>
      <c r="AJ25" s="353"/>
      <c r="AK25" s="353"/>
      <c r="AL25" s="353"/>
      <c r="AM25" s="353"/>
      <c r="AN25" s="353"/>
      <c r="AO25" s="353"/>
      <c r="AP25" s="353"/>
      <c r="AQ25" s="353"/>
      <c r="AR25" s="353"/>
      <c r="AS25" s="353"/>
      <c r="AT25" s="353"/>
    </row>
    <row r="26" spans="1:46" x14ac:dyDescent="0.25">
      <c r="A26" s="573" t="s">
        <v>660</v>
      </c>
      <c r="B26" s="356">
        <f>-B24</f>
        <v>-41256660364.919998</v>
      </c>
      <c r="C26" s="356">
        <f>C18+C19</f>
        <v>3035837465.3039126</v>
      </c>
      <c r="D26" s="356">
        <f t="shared" ref="D26:AG26" si="10">D18+D19</f>
        <v>3035837465.3039126</v>
      </c>
      <c r="E26" s="356">
        <f t="shared" si="10"/>
        <v>3035837465.3039126</v>
      </c>
      <c r="F26" s="356">
        <f t="shared" si="10"/>
        <v>3035837465.3039126</v>
      </c>
      <c r="G26" s="356">
        <f t="shared" si="10"/>
        <v>3035837465.3039126</v>
      </c>
      <c r="H26" s="356">
        <f t="shared" si="10"/>
        <v>3035837465.3039126</v>
      </c>
      <c r="I26" s="356">
        <f t="shared" si="10"/>
        <v>3035837465.3039126</v>
      </c>
      <c r="J26" s="356">
        <f t="shared" si="10"/>
        <v>3035837465.3039126</v>
      </c>
      <c r="K26" s="356">
        <f t="shared" si="10"/>
        <v>3035837465.3039126</v>
      </c>
      <c r="L26" s="356">
        <f t="shared" si="10"/>
        <v>3035837465.3039126</v>
      </c>
      <c r="M26" s="356">
        <f t="shared" si="10"/>
        <v>3035837465.3039126</v>
      </c>
      <c r="N26" s="356">
        <f t="shared" si="10"/>
        <v>3035837465.3039126</v>
      </c>
      <c r="O26" s="356">
        <f t="shared" si="10"/>
        <v>3035837465.3039126</v>
      </c>
      <c r="P26" s="356">
        <f t="shared" si="10"/>
        <v>3035837465.3039126</v>
      </c>
      <c r="Q26" s="356">
        <f t="shared" si="10"/>
        <v>3895208189.0280147</v>
      </c>
      <c r="R26" s="356">
        <f t="shared" si="10"/>
        <v>3895208189.0280147</v>
      </c>
      <c r="S26" s="356">
        <f t="shared" si="10"/>
        <v>3895208189.0280147</v>
      </c>
      <c r="T26" s="356">
        <f t="shared" si="10"/>
        <v>3895208189.0280147</v>
      </c>
      <c r="U26" s="356">
        <f t="shared" si="10"/>
        <v>3895208189.0280147</v>
      </c>
      <c r="V26" s="356">
        <f t="shared" si="10"/>
        <v>3895208189.0280147</v>
      </c>
      <c r="W26" s="356">
        <f t="shared" si="10"/>
        <v>3895208189.0280147</v>
      </c>
      <c r="X26" s="356">
        <f t="shared" si="10"/>
        <v>3895208189.0280147</v>
      </c>
      <c r="Y26" s="356">
        <f t="shared" si="10"/>
        <v>3895208189.0280147</v>
      </c>
      <c r="Z26" s="356">
        <f t="shared" si="10"/>
        <v>3895208189.0280147</v>
      </c>
      <c r="AA26" s="356">
        <f t="shared" si="10"/>
        <v>3895208189.0280147</v>
      </c>
      <c r="AB26" s="356">
        <f t="shared" si="10"/>
        <v>3895208189.0280147</v>
      </c>
      <c r="AC26" s="356">
        <f t="shared" si="10"/>
        <v>3895208189.0280147</v>
      </c>
      <c r="AD26" s="356">
        <f t="shared" si="10"/>
        <v>3895208189.0280147</v>
      </c>
      <c r="AE26" s="356">
        <f t="shared" si="10"/>
        <v>3895208189.0280147</v>
      </c>
      <c r="AF26" s="356">
        <f t="shared" si="10"/>
        <v>3895208189.0280147</v>
      </c>
      <c r="AG26" s="356">
        <f t="shared" si="10"/>
        <v>0</v>
      </c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</row>
    <row r="27" spans="1:46" x14ac:dyDescent="0.25">
      <c r="A27" s="573" t="s">
        <v>661</v>
      </c>
      <c r="B27" s="60">
        <f>B6*B11</f>
        <v>412566603.64919996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>
        <f>P25*C11</f>
        <v>97956242.299999997</v>
      </c>
      <c r="Q27" s="353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46" x14ac:dyDescent="0.25">
      <c r="A28" s="573" t="s">
        <v>701</v>
      </c>
      <c r="B28" s="357">
        <v>0</v>
      </c>
      <c r="C28" s="357">
        <f>-(C20+B27)*$B$13</f>
        <v>-969366491.93416023</v>
      </c>
      <c r="D28" s="357">
        <f>-(D20+C27)*$B$13</f>
        <v>-822900773.45971775</v>
      </c>
      <c r="E28" s="357">
        <f>-(E20+D27)*$B$13</f>
        <v>-811950527.34617472</v>
      </c>
      <c r="F28" s="357">
        <f>-(F20+E27)*$B$13</f>
        <v>-800330126.17048275</v>
      </c>
      <c r="G28" s="357">
        <f>-(G20+F27)*$B$13</f>
        <v>-787998556.44283855</v>
      </c>
      <c r="H28" s="357">
        <f t="shared" ref="H28:AT28" si="11">-(H20+G27)*$B$13</f>
        <v>-774912294.64786243</v>
      </c>
      <c r="I28" s="357">
        <f t="shared" si="11"/>
        <v>-761025153.63103378</v>
      </c>
      <c r="J28" s="357">
        <f t="shared" si="11"/>
        <v>-746288119.5839752</v>
      </c>
      <c r="K28" s="357">
        <f t="shared" si="11"/>
        <v>-730649179.0532366</v>
      </c>
      <c r="L28" s="357">
        <f t="shared" si="11"/>
        <v>-714053135.36201692</v>
      </c>
      <c r="M28" s="357">
        <f t="shared" si="11"/>
        <v>-696441413.79689443</v>
      </c>
      <c r="N28" s="357">
        <f t="shared" si="11"/>
        <v>-677751854.87198663</v>
      </c>
      <c r="O28" s="357">
        <f t="shared" si="11"/>
        <v>-657918494.94087434</v>
      </c>
      <c r="P28" s="357">
        <f t="shared" si="11"/>
        <v>-636871333.38197803</v>
      </c>
      <c r="Q28" s="358">
        <f t="shared" si="11"/>
        <v>-646861645.49467719</v>
      </c>
      <c r="R28" s="357">
        <f t="shared" si="11"/>
        <v>-590833920.52118289</v>
      </c>
      <c r="S28" s="357">
        <f t="shared" si="11"/>
        <v>-565681183.00780141</v>
      </c>
      <c r="T28" s="357">
        <f t="shared" si="11"/>
        <v>-538989097.95860112</v>
      </c>
      <c r="U28" s="357">
        <f t="shared" si="11"/>
        <v>-510663457.3043896</v>
      </c>
      <c r="V28" s="357">
        <f t="shared" si="11"/>
        <v>-480604287.4421404</v>
      </c>
      <c r="W28" s="357">
        <f t="shared" si="11"/>
        <v>-448705496.38432163</v>
      </c>
      <c r="X28" s="357">
        <f t="shared" si="11"/>
        <v>-414854499.31376433</v>
      </c>
      <c r="Y28" s="357">
        <f t="shared" si="11"/>
        <v>-378931821.22248888</v>
      </c>
      <c r="Z28" s="357">
        <f t="shared" si="11"/>
        <v>-340810675.23202735</v>
      </c>
      <c r="AA28" s="357">
        <f t="shared" si="11"/>
        <v>-300356515.10694957</v>
      </c>
      <c r="AB28" s="357">
        <f t="shared" si="11"/>
        <v>-257426560.38221708</v>
      </c>
      <c r="AC28" s="357">
        <f t="shared" si="11"/>
        <v>-211869292.42833093</v>
      </c>
      <c r="AD28" s="357">
        <f t="shared" si="11"/>
        <v>-163523919.67566693</v>
      </c>
      <c r="AE28" s="357">
        <f t="shared" si="11"/>
        <v>-112219810.11053993</v>
      </c>
      <c r="AF28" s="357">
        <f t="shared" si="11"/>
        <v>-57775889.040027164</v>
      </c>
      <c r="AG28" s="357">
        <f t="shared" si="11"/>
        <v>0</v>
      </c>
      <c r="AH28" s="357">
        <f t="shared" si="11"/>
        <v>0</v>
      </c>
      <c r="AI28" s="357">
        <f t="shared" si="11"/>
        <v>0</v>
      </c>
      <c r="AJ28" s="357">
        <f t="shared" si="11"/>
        <v>0</v>
      </c>
      <c r="AK28" s="357">
        <f t="shared" si="11"/>
        <v>0</v>
      </c>
      <c r="AL28" s="357">
        <f t="shared" si="11"/>
        <v>0</v>
      </c>
      <c r="AM28" s="357">
        <f t="shared" si="11"/>
        <v>0</v>
      </c>
      <c r="AN28" s="357">
        <f t="shared" si="11"/>
        <v>0</v>
      </c>
      <c r="AO28" s="357">
        <f t="shared" si="11"/>
        <v>0</v>
      </c>
      <c r="AP28" s="357">
        <f t="shared" si="11"/>
        <v>0</v>
      </c>
      <c r="AQ28" s="357">
        <f t="shared" si="11"/>
        <v>0</v>
      </c>
      <c r="AR28" s="357">
        <f t="shared" si="11"/>
        <v>0</v>
      </c>
      <c r="AS28" s="357">
        <f t="shared" si="11"/>
        <v>0</v>
      </c>
      <c r="AT28" s="357">
        <f t="shared" si="11"/>
        <v>0</v>
      </c>
    </row>
    <row r="29" spans="1:46" x14ac:dyDescent="0.25">
      <c r="A29" s="594" t="s">
        <v>663</v>
      </c>
      <c r="B29" s="359">
        <f t="shared" ref="B29:G29" si="12">SUM(B26:B28)</f>
        <v>-40844093761.270798</v>
      </c>
      <c r="C29" s="359">
        <f t="shared" si="12"/>
        <v>2066470973.3697524</v>
      </c>
      <c r="D29" s="359">
        <f t="shared" si="12"/>
        <v>2212936691.8441949</v>
      </c>
      <c r="E29" s="359">
        <f t="shared" si="12"/>
        <v>2223886937.9577379</v>
      </c>
      <c r="F29" s="359">
        <f t="shared" si="12"/>
        <v>2235507339.13343</v>
      </c>
      <c r="G29" s="359">
        <f t="shared" si="12"/>
        <v>2247838908.861074</v>
      </c>
      <c r="H29" s="359">
        <f t="shared" ref="H29:AT29" si="13">SUM(H26:H28)</f>
        <v>2260925170.6560502</v>
      </c>
      <c r="I29" s="359">
        <f t="shared" si="13"/>
        <v>2274812311.6728787</v>
      </c>
      <c r="J29" s="359">
        <f t="shared" si="13"/>
        <v>2289549345.7199373</v>
      </c>
      <c r="K29" s="359">
        <f t="shared" si="13"/>
        <v>2305188286.2506762</v>
      </c>
      <c r="L29" s="359">
        <f t="shared" si="13"/>
        <v>2321784329.9418955</v>
      </c>
      <c r="M29" s="359">
        <f t="shared" si="13"/>
        <v>2339396051.5070181</v>
      </c>
      <c r="N29" s="359">
        <f t="shared" si="13"/>
        <v>2358085610.4319258</v>
      </c>
      <c r="O29" s="359">
        <f t="shared" si="13"/>
        <v>2377918970.3630381</v>
      </c>
      <c r="P29" s="359">
        <f t="shared" si="13"/>
        <v>2496922374.2219348</v>
      </c>
      <c r="Q29" s="360">
        <f t="shared" si="13"/>
        <v>3248346543.5333376</v>
      </c>
      <c r="R29" s="359">
        <f t="shared" si="13"/>
        <v>3304374268.5068316</v>
      </c>
      <c r="S29" s="359">
        <f t="shared" si="13"/>
        <v>3329527006.0202131</v>
      </c>
      <c r="T29" s="359">
        <f t="shared" si="13"/>
        <v>3356219091.0694137</v>
      </c>
      <c r="U29" s="359">
        <f t="shared" si="13"/>
        <v>3384544731.7236252</v>
      </c>
      <c r="V29" s="359">
        <f t="shared" si="13"/>
        <v>3414603901.5858741</v>
      </c>
      <c r="W29" s="359">
        <f t="shared" si="13"/>
        <v>3446502692.643693</v>
      </c>
      <c r="X29" s="359">
        <f t="shared" si="13"/>
        <v>3480353689.7142506</v>
      </c>
      <c r="Y29" s="359">
        <f t="shared" si="13"/>
        <v>3516276367.8055258</v>
      </c>
      <c r="Z29" s="359">
        <f t="shared" si="13"/>
        <v>3554397513.7959871</v>
      </c>
      <c r="AA29" s="359">
        <f t="shared" si="13"/>
        <v>3594851673.9210653</v>
      </c>
      <c r="AB29" s="359">
        <f t="shared" si="13"/>
        <v>3637781628.6457977</v>
      </c>
      <c r="AC29" s="359">
        <f t="shared" si="13"/>
        <v>3683338896.5996838</v>
      </c>
      <c r="AD29" s="359">
        <f t="shared" si="13"/>
        <v>3731684269.3523479</v>
      </c>
      <c r="AE29" s="359">
        <f t="shared" si="13"/>
        <v>3782988378.9174747</v>
      </c>
      <c r="AF29" s="359">
        <f t="shared" si="13"/>
        <v>3837432299.9879875</v>
      </c>
      <c r="AG29" s="359">
        <f t="shared" si="13"/>
        <v>0</v>
      </c>
      <c r="AH29" s="359">
        <f t="shared" si="13"/>
        <v>0</v>
      </c>
      <c r="AI29" s="359">
        <f t="shared" si="13"/>
        <v>0</v>
      </c>
      <c r="AJ29" s="359">
        <f t="shared" si="13"/>
        <v>0</v>
      </c>
      <c r="AK29" s="359">
        <f t="shared" si="13"/>
        <v>0</v>
      </c>
      <c r="AL29" s="359">
        <f t="shared" si="13"/>
        <v>0</v>
      </c>
      <c r="AM29" s="359">
        <f t="shared" si="13"/>
        <v>0</v>
      </c>
      <c r="AN29" s="359">
        <f t="shared" si="13"/>
        <v>0</v>
      </c>
      <c r="AO29" s="359">
        <f t="shared" si="13"/>
        <v>0</v>
      </c>
      <c r="AP29" s="359">
        <f t="shared" si="13"/>
        <v>0</v>
      </c>
      <c r="AQ29" s="359">
        <f t="shared" si="13"/>
        <v>0</v>
      </c>
      <c r="AR29" s="359">
        <f t="shared" si="13"/>
        <v>0</v>
      </c>
      <c r="AS29" s="359">
        <f t="shared" si="13"/>
        <v>0</v>
      </c>
      <c r="AT29" s="359">
        <f t="shared" si="13"/>
        <v>0</v>
      </c>
    </row>
    <row r="30" spans="1:46" ht="15.75" x14ac:dyDescent="0.3">
      <c r="B30" s="40"/>
      <c r="C30" s="40"/>
      <c r="D30" s="40"/>
      <c r="E30" s="40"/>
      <c r="F30" s="40"/>
      <c r="G30" s="40"/>
      <c r="H30" s="36"/>
      <c r="I30" s="36"/>
      <c r="J30" s="36"/>
    </row>
    <row r="31" spans="1:46" ht="15.75" x14ac:dyDescent="0.3">
      <c r="A31" s="571" t="s">
        <v>702</v>
      </c>
      <c r="B31" s="50">
        <f>IRR(B29:AF29)</f>
        <v>5.1262371052943401E-2</v>
      </c>
      <c r="C31" s="40" t="s">
        <v>73</v>
      </c>
      <c r="D31" s="40"/>
      <c r="E31" s="40"/>
      <c r="F31" s="40"/>
      <c r="G31" s="40"/>
      <c r="H31" s="36"/>
      <c r="I31" s="36"/>
      <c r="J31" s="36"/>
    </row>
    <row r="32" spans="1:46" ht="15.75" x14ac:dyDescent="0.3">
      <c r="B32" s="41"/>
      <c r="C32" s="41"/>
      <c r="D32" s="40"/>
      <c r="E32" s="40"/>
      <c r="F32" s="40"/>
      <c r="G32" s="40"/>
      <c r="H32" s="35"/>
      <c r="I32" s="35"/>
      <c r="J32" s="35"/>
    </row>
    <row r="33" spans="1:46" ht="15.75" x14ac:dyDescent="0.3">
      <c r="A33" s="571"/>
      <c r="B33" s="40"/>
      <c r="C33" s="40"/>
      <c r="D33" s="40"/>
      <c r="E33" s="40"/>
      <c r="F33" s="40"/>
      <c r="G33" s="40"/>
      <c r="H33" s="35"/>
      <c r="I33" s="35"/>
      <c r="J33" s="35"/>
    </row>
    <row r="34" spans="1:46" ht="15.75" x14ac:dyDescent="0.3">
      <c r="A34" s="571" t="s">
        <v>665</v>
      </c>
      <c r="B34" s="40"/>
      <c r="C34" s="40"/>
      <c r="D34" s="40"/>
      <c r="E34" s="40"/>
      <c r="F34" s="40"/>
      <c r="G34" s="40"/>
      <c r="H34" s="35"/>
      <c r="I34" s="35"/>
      <c r="J34" s="35"/>
    </row>
    <row r="35" spans="1:46" ht="15.75" thickBot="1" x14ac:dyDescent="0.3">
      <c r="B35" s="41"/>
      <c r="C35" s="41"/>
      <c r="D35" s="41"/>
      <c r="E35" s="41"/>
      <c r="F35" s="41"/>
      <c r="G35" s="41"/>
    </row>
    <row r="36" spans="1:46" x14ac:dyDescent="0.25">
      <c r="A36" s="595" t="s">
        <v>72</v>
      </c>
      <c r="B36" s="70">
        <v>0</v>
      </c>
      <c r="C36" s="70">
        <v>1</v>
      </c>
      <c r="D36" s="70">
        <v>2</v>
      </c>
      <c r="E36" s="70">
        <v>3</v>
      </c>
      <c r="F36" s="70">
        <v>4</v>
      </c>
      <c r="G36" s="71">
        <v>5</v>
      </c>
      <c r="H36" s="70">
        <v>6</v>
      </c>
      <c r="I36" s="71">
        <v>7</v>
      </c>
      <c r="J36" s="70">
        <v>8</v>
      </c>
      <c r="K36" s="71">
        <v>9</v>
      </c>
      <c r="L36" s="70">
        <v>10</v>
      </c>
      <c r="M36" s="71">
        <v>11</v>
      </c>
      <c r="N36" s="70">
        <v>12</v>
      </c>
      <c r="O36" s="71">
        <v>13</v>
      </c>
      <c r="P36" s="70">
        <v>14</v>
      </c>
      <c r="Q36" s="71">
        <v>15</v>
      </c>
      <c r="R36" s="70">
        <v>16</v>
      </c>
      <c r="S36" s="71">
        <v>17</v>
      </c>
      <c r="T36" s="70">
        <v>18</v>
      </c>
      <c r="U36" s="71">
        <v>19</v>
      </c>
      <c r="V36" s="70">
        <v>20</v>
      </c>
      <c r="W36" s="71">
        <v>21</v>
      </c>
      <c r="X36" s="70">
        <v>22</v>
      </c>
      <c r="Y36" s="71">
        <v>23</v>
      </c>
      <c r="Z36" s="70">
        <v>24</v>
      </c>
      <c r="AA36" s="71">
        <v>25</v>
      </c>
      <c r="AB36" s="70">
        <v>26</v>
      </c>
      <c r="AC36" s="71">
        <v>27</v>
      </c>
      <c r="AD36" s="70">
        <v>28</v>
      </c>
      <c r="AE36" s="71">
        <v>29</v>
      </c>
      <c r="AF36" s="70">
        <v>30</v>
      </c>
      <c r="AG36" s="70">
        <v>31</v>
      </c>
      <c r="AH36" s="71">
        <v>32</v>
      </c>
      <c r="AI36" s="70">
        <v>33</v>
      </c>
      <c r="AJ36" s="70">
        <v>34</v>
      </c>
      <c r="AK36" s="71">
        <v>35</v>
      </c>
      <c r="AL36" s="70">
        <v>36</v>
      </c>
      <c r="AM36" s="70">
        <v>37</v>
      </c>
      <c r="AN36" s="71">
        <v>38</v>
      </c>
      <c r="AO36" s="70">
        <v>39</v>
      </c>
      <c r="AP36" s="70">
        <v>40</v>
      </c>
      <c r="AQ36" s="71">
        <v>41</v>
      </c>
      <c r="AR36" s="70">
        <v>42</v>
      </c>
      <c r="AS36" s="70">
        <v>43</v>
      </c>
      <c r="AT36" s="71">
        <v>44</v>
      </c>
    </row>
    <row r="37" spans="1:46" ht="15.75" thickBot="1" x14ac:dyDescent="0.3">
      <c r="A37" s="578" t="s">
        <v>666</v>
      </c>
      <c r="B37" s="72">
        <f t="shared" ref="B37:AT37" si="14">-B29</f>
        <v>40844093761.270798</v>
      </c>
      <c r="C37" s="72">
        <f t="shared" si="14"/>
        <v>-2066470973.3697524</v>
      </c>
      <c r="D37" s="72">
        <f t="shared" si="14"/>
        <v>-2212936691.8441949</v>
      </c>
      <c r="E37" s="72">
        <f t="shared" si="14"/>
        <v>-2223886937.9577379</v>
      </c>
      <c r="F37" s="72">
        <f t="shared" si="14"/>
        <v>-2235507339.13343</v>
      </c>
      <c r="G37" s="73">
        <f t="shared" si="14"/>
        <v>-2247838908.861074</v>
      </c>
      <c r="H37" s="73">
        <f t="shared" si="14"/>
        <v>-2260925170.6560502</v>
      </c>
      <c r="I37" s="73">
        <f t="shared" si="14"/>
        <v>-2274812311.6728787</v>
      </c>
      <c r="J37" s="73">
        <f t="shared" si="14"/>
        <v>-2289549345.7199373</v>
      </c>
      <c r="K37" s="73">
        <f t="shared" si="14"/>
        <v>-2305188286.2506762</v>
      </c>
      <c r="L37" s="73">
        <f t="shared" si="14"/>
        <v>-2321784329.9418955</v>
      </c>
      <c r="M37" s="73">
        <f t="shared" si="14"/>
        <v>-2339396051.5070181</v>
      </c>
      <c r="N37" s="73">
        <f t="shared" si="14"/>
        <v>-2358085610.4319258</v>
      </c>
      <c r="O37" s="73">
        <f t="shared" si="14"/>
        <v>-2377918970.3630381</v>
      </c>
      <c r="P37" s="73">
        <f t="shared" si="14"/>
        <v>-2496922374.2219348</v>
      </c>
      <c r="Q37" s="73">
        <f t="shared" si="14"/>
        <v>-3248346543.5333376</v>
      </c>
      <c r="R37" s="73">
        <f t="shared" si="14"/>
        <v>-3304374268.5068316</v>
      </c>
      <c r="S37" s="73">
        <f t="shared" si="14"/>
        <v>-3329527006.0202131</v>
      </c>
      <c r="T37" s="73">
        <f t="shared" si="14"/>
        <v>-3356219091.0694137</v>
      </c>
      <c r="U37" s="73">
        <f t="shared" si="14"/>
        <v>-3384544731.7236252</v>
      </c>
      <c r="V37" s="73">
        <f t="shared" si="14"/>
        <v>-3414603901.5858741</v>
      </c>
      <c r="W37" s="73">
        <f t="shared" si="14"/>
        <v>-3446502692.643693</v>
      </c>
      <c r="X37" s="73">
        <f t="shared" si="14"/>
        <v>-3480353689.7142506</v>
      </c>
      <c r="Y37" s="73">
        <f t="shared" si="14"/>
        <v>-3516276367.8055258</v>
      </c>
      <c r="Z37" s="73">
        <f t="shared" si="14"/>
        <v>-3554397513.7959871</v>
      </c>
      <c r="AA37" s="73">
        <f t="shared" si="14"/>
        <v>-3594851673.9210653</v>
      </c>
      <c r="AB37" s="73">
        <f t="shared" si="14"/>
        <v>-3637781628.6457977</v>
      </c>
      <c r="AC37" s="73">
        <f t="shared" si="14"/>
        <v>-3683338896.5996838</v>
      </c>
      <c r="AD37" s="73">
        <f t="shared" si="14"/>
        <v>-3731684269.3523479</v>
      </c>
      <c r="AE37" s="73">
        <f t="shared" si="14"/>
        <v>-3782988378.9174747</v>
      </c>
      <c r="AF37" s="73">
        <f t="shared" si="14"/>
        <v>-3837432299.9879875</v>
      </c>
      <c r="AG37" s="73">
        <f t="shared" si="14"/>
        <v>0</v>
      </c>
      <c r="AH37" s="73">
        <f t="shared" si="14"/>
        <v>0</v>
      </c>
      <c r="AI37" s="73">
        <f t="shared" si="14"/>
        <v>0</v>
      </c>
      <c r="AJ37" s="73">
        <f t="shared" si="14"/>
        <v>0</v>
      </c>
      <c r="AK37" s="73">
        <f t="shared" si="14"/>
        <v>0</v>
      </c>
      <c r="AL37" s="73">
        <f t="shared" si="14"/>
        <v>0</v>
      </c>
      <c r="AM37" s="73">
        <f t="shared" si="14"/>
        <v>0</v>
      </c>
      <c r="AN37" s="73">
        <f t="shared" si="14"/>
        <v>0</v>
      </c>
      <c r="AO37" s="73">
        <f t="shared" si="14"/>
        <v>0</v>
      </c>
      <c r="AP37" s="73">
        <f t="shared" si="14"/>
        <v>0</v>
      </c>
      <c r="AQ37" s="73">
        <f t="shared" si="14"/>
        <v>0</v>
      </c>
      <c r="AR37" s="73">
        <f t="shared" si="14"/>
        <v>0</v>
      </c>
      <c r="AS37" s="73">
        <f t="shared" si="14"/>
        <v>0</v>
      </c>
      <c r="AT37" s="73">
        <f t="shared" si="14"/>
        <v>0</v>
      </c>
    </row>
    <row r="38" spans="1:46" ht="15.75" x14ac:dyDescent="0.3">
      <c r="A38" s="579"/>
      <c r="B38" s="36"/>
      <c r="C38" s="36"/>
      <c r="D38" s="36"/>
      <c r="E38" s="36"/>
      <c r="F38" s="36"/>
      <c r="G38" s="36"/>
      <c r="I38" s="36"/>
    </row>
    <row r="39" spans="1:46" ht="14.25" customHeight="1" x14ac:dyDescent="0.25"/>
    <row r="40" spans="1:46" ht="15.75" x14ac:dyDescent="0.3">
      <c r="A40" s="579"/>
      <c r="B40" s="35"/>
      <c r="C40" s="35"/>
      <c r="D40" s="35"/>
    </row>
    <row r="41" spans="1:46" ht="15.75" x14ac:dyDescent="0.3">
      <c r="A41" s="580"/>
      <c r="B41" s="35"/>
      <c r="C41" s="35"/>
      <c r="D41" s="35"/>
    </row>
    <row r="42" spans="1:46" ht="15.75" x14ac:dyDescent="0.3">
      <c r="A42" s="579"/>
      <c r="B42" s="39"/>
      <c r="C42" s="39"/>
      <c r="D42" s="39"/>
    </row>
    <row r="43" spans="1:46" ht="15.75" x14ac:dyDescent="0.3">
      <c r="A43" s="580"/>
      <c r="B43" s="35"/>
      <c r="C43" s="38"/>
      <c r="D43" s="37"/>
    </row>
    <row r="44" spans="1:46" ht="15.75" x14ac:dyDescent="0.3">
      <c r="A44" s="580"/>
      <c r="B44" s="35"/>
      <c r="C44" s="38"/>
      <c r="D44" s="37"/>
    </row>
    <row r="45" spans="1:46" ht="15.75" x14ac:dyDescent="0.3">
      <c r="A45" s="579"/>
      <c r="B45" s="36"/>
      <c r="C45" s="35"/>
      <c r="D45" s="34"/>
    </row>
    <row r="46" spans="1:46" ht="15.75" x14ac:dyDescent="0.3">
      <c r="A46" s="580"/>
      <c r="B46" s="35"/>
      <c r="C46" s="35"/>
      <c r="D46" s="35"/>
    </row>
    <row r="47" spans="1:46" ht="15.75" x14ac:dyDescent="0.3">
      <c r="A47" s="580"/>
      <c r="B47" s="35"/>
      <c r="C47" s="37"/>
      <c r="D47" s="37"/>
    </row>
    <row r="48" spans="1:46" ht="15.75" x14ac:dyDescent="0.3">
      <c r="A48" s="580"/>
      <c r="B48" s="35"/>
      <c r="C48" s="37"/>
      <c r="D48" s="37"/>
    </row>
    <row r="49" spans="1:4" ht="15.75" x14ac:dyDescent="0.3">
      <c r="A49" s="579"/>
      <c r="B49" s="36"/>
      <c r="C49" s="35"/>
      <c r="D49" s="34"/>
    </row>
  </sheetData>
  <mergeCells count="1">
    <mergeCell ref="E6:F6"/>
  </mergeCells>
  <pageMargins left="0.7" right="0.7" top="0.75" bottom="0.75" header="0.3" footer="0.3"/>
  <pageSetup scale="68" fitToWidth="4" orientation="landscape" horizontalDpi="300" verticalDpi="300" r:id="rId1"/>
  <headerFooter>
    <oddHeader>&amp;C&amp;F-&amp;A-&amp;P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1"/>
  <sheetViews>
    <sheetView topLeftCell="A25" workbookViewId="0">
      <selection activeCell="A3" sqref="A3:XFD3"/>
    </sheetView>
  </sheetViews>
  <sheetFormatPr baseColWidth="10" defaultRowHeight="15" x14ac:dyDescent="0.25"/>
  <cols>
    <col min="1" max="1" width="25" style="453" customWidth="1"/>
    <col min="2" max="2" width="17" bestFit="1" customWidth="1"/>
    <col min="3" max="3" width="18" bestFit="1" customWidth="1"/>
    <col min="4" max="7" width="17" bestFit="1" customWidth="1"/>
    <col min="8" max="8" width="16.85546875" bestFit="1" customWidth="1"/>
    <col min="9" max="9" width="17.140625" bestFit="1" customWidth="1"/>
    <col min="10" max="10" width="17" bestFit="1" customWidth="1"/>
    <col min="11" max="15" width="16.85546875" bestFit="1" customWidth="1"/>
    <col min="16" max="16" width="18.42578125" bestFit="1" customWidth="1"/>
    <col min="17" max="32" width="16.85546875" bestFit="1" customWidth="1"/>
    <col min="33" max="33" width="15.85546875" bestFit="1" customWidth="1"/>
    <col min="34" max="45" width="12.5703125" bestFit="1" customWidth="1"/>
  </cols>
  <sheetData>
    <row r="1" spans="1:33" ht="26.25" x14ac:dyDescent="0.4">
      <c r="B1" s="361" t="s">
        <v>432</v>
      </c>
    </row>
    <row r="2" spans="1:33" x14ac:dyDescent="0.25">
      <c r="A2" s="581"/>
      <c r="B2" s="18"/>
      <c r="C2" s="18"/>
      <c r="J2" s="13"/>
      <c r="K2" s="16"/>
      <c r="L2" s="13"/>
    </row>
    <row r="3" spans="1:33" s="453" customFormat="1" x14ac:dyDescent="0.25">
      <c r="A3" s="549"/>
      <c r="B3" s="583" t="s">
        <v>2</v>
      </c>
      <c r="C3" s="549" t="s">
        <v>0</v>
      </c>
      <c r="D3" s="549" t="s">
        <v>1</v>
      </c>
      <c r="E3" s="549" t="s">
        <v>32</v>
      </c>
      <c r="F3" s="549" t="s">
        <v>673</v>
      </c>
      <c r="G3" s="549" t="s">
        <v>674</v>
      </c>
      <c r="H3" s="549" t="s">
        <v>675</v>
      </c>
      <c r="J3" s="591"/>
      <c r="K3" s="591"/>
      <c r="L3" s="590"/>
    </row>
    <row r="4" spans="1:33" x14ac:dyDescent="0.25">
      <c r="A4" s="549" t="s">
        <v>30</v>
      </c>
      <c r="B4" s="15">
        <v>30</v>
      </c>
      <c r="C4" s="92">
        <v>1</v>
      </c>
      <c r="D4" s="93">
        <f>+ACTUALMENTE!D44*C4</f>
        <v>170748797</v>
      </c>
      <c r="E4" s="93">
        <f>+D4*0</f>
        <v>0</v>
      </c>
      <c r="F4" s="93">
        <f>+E4</f>
        <v>0</v>
      </c>
      <c r="G4" s="93">
        <f>+F4*0.33</f>
        <v>0</v>
      </c>
      <c r="H4" s="94">
        <f>+F4-G4</f>
        <v>0</v>
      </c>
      <c r="J4" s="13"/>
      <c r="K4" s="16"/>
      <c r="L4" s="16"/>
    </row>
    <row r="5" spans="1:33" ht="30" x14ac:dyDescent="0.25">
      <c r="A5" s="585" t="s">
        <v>667</v>
      </c>
      <c r="B5" s="15">
        <v>30</v>
      </c>
      <c r="C5" s="92">
        <v>1</v>
      </c>
      <c r="D5" s="232">
        <f>'Dep y Dif ACTUALMENTE'!D4</f>
        <v>42917543357.465675</v>
      </c>
      <c r="E5" s="93">
        <f>+D5*0</f>
        <v>0</v>
      </c>
      <c r="F5" s="93">
        <f>+E5</f>
        <v>0</v>
      </c>
      <c r="G5" s="93">
        <f>+F5*0.33</f>
        <v>0</v>
      </c>
      <c r="H5" s="94">
        <f>+F5-G5</f>
        <v>0</v>
      </c>
      <c r="J5" s="16"/>
      <c r="K5" s="16"/>
      <c r="L5" s="16"/>
    </row>
    <row r="6" spans="1:33" x14ac:dyDescent="0.25">
      <c r="A6" s="549" t="s">
        <v>33</v>
      </c>
      <c r="B6" s="15"/>
      <c r="C6" s="92"/>
      <c r="D6" s="93">
        <f>+ACTUALMENTE!D43</f>
        <v>27563854.500000004</v>
      </c>
      <c r="E6" s="94">
        <f>+D6*1.3</f>
        <v>35833010.850000009</v>
      </c>
      <c r="F6" s="93">
        <v>0</v>
      </c>
      <c r="G6" s="93">
        <v>0</v>
      </c>
      <c r="H6" s="94">
        <f>+E6</f>
        <v>35833010.850000009</v>
      </c>
    </row>
    <row r="7" spans="1:33" x14ac:dyDescent="0.25">
      <c r="A7" s="549" t="s">
        <v>668</v>
      </c>
      <c r="B7" s="15"/>
      <c r="C7" s="92"/>
      <c r="D7" s="93"/>
      <c r="E7" s="95">
        <v>0</v>
      </c>
      <c r="F7" s="93">
        <v>0</v>
      </c>
      <c r="G7" s="93">
        <v>0</v>
      </c>
      <c r="H7" s="95">
        <f>+E7</f>
        <v>0</v>
      </c>
    </row>
    <row r="8" spans="1:33" x14ac:dyDescent="0.25">
      <c r="A8" s="549"/>
      <c r="B8" s="14"/>
      <c r="C8" s="25"/>
      <c r="D8" s="26"/>
      <c r="E8" s="27"/>
      <c r="F8" s="14"/>
      <c r="G8" s="14" t="s">
        <v>38</v>
      </c>
      <c r="H8" s="19">
        <f>SUM(H4:H7)</f>
        <v>35833010.850000009</v>
      </c>
    </row>
    <row r="9" spans="1:33" ht="18.75" x14ac:dyDescent="0.3">
      <c r="A9" s="586" t="s">
        <v>41</v>
      </c>
      <c r="B9" s="146">
        <v>1999</v>
      </c>
      <c r="C9" s="106">
        <v>2000</v>
      </c>
      <c r="D9" s="106">
        <v>2001</v>
      </c>
      <c r="E9" s="106">
        <v>2002</v>
      </c>
      <c r="F9" s="106">
        <v>2003</v>
      </c>
      <c r="G9" s="106">
        <v>2004</v>
      </c>
      <c r="H9" s="106">
        <v>2005</v>
      </c>
      <c r="I9" s="106">
        <v>2006</v>
      </c>
      <c r="J9" s="106">
        <v>2007</v>
      </c>
      <c r="K9" s="106">
        <v>2008</v>
      </c>
      <c r="L9" s="106">
        <v>2009</v>
      </c>
      <c r="M9" s="106">
        <v>2010</v>
      </c>
      <c r="N9" s="106">
        <v>2011</v>
      </c>
      <c r="O9" s="106">
        <v>2012</v>
      </c>
      <c r="P9" s="106">
        <v>2013</v>
      </c>
      <c r="Q9" s="106">
        <v>2014</v>
      </c>
      <c r="R9" s="106">
        <v>2015</v>
      </c>
      <c r="S9" s="106">
        <v>2016</v>
      </c>
      <c r="T9" s="106">
        <v>2017</v>
      </c>
      <c r="U9" s="106">
        <v>2018</v>
      </c>
      <c r="V9" s="106">
        <v>2019</v>
      </c>
      <c r="W9" s="106">
        <v>2020</v>
      </c>
      <c r="X9" s="106">
        <v>2021</v>
      </c>
      <c r="Y9" s="106">
        <v>2022</v>
      </c>
      <c r="Z9" s="106">
        <v>2023</v>
      </c>
      <c r="AA9" s="106">
        <v>2024</v>
      </c>
      <c r="AB9" s="106">
        <v>2025</v>
      </c>
      <c r="AC9" s="106">
        <v>2026</v>
      </c>
      <c r="AD9" s="106">
        <v>2027</v>
      </c>
      <c r="AE9" s="106">
        <v>2028</v>
      </c>
      <c r="AF9" s="106">
        <v>2029</v>
      </c>
      <c r="AG9" s="106">
        <v>2030</v>
      </c>
    </row>
    <row r="10" spans="1:33" x14ac:dyDescent="0.25">
      <c r="A10" s="549"/>
      <c r="B10" s="14"/>
      <c r="C10" s="14">
        <v>0</v>
      </c>
      <c r="D10" s="14">
        <v>1</v>
      </c>
      <c r="E10" s="14">
        <v>2</v>
      </c>
      <c r="F10" s="14">
        <v>3</v>
      </c>
      <c r="G10" s="14">
        <v>4</v>
      </c>
      <c r="H10" s="14">
        <v>5</v>
      </c>
      <c r="I10" s="14">
        <v>6</v>
      </c>
      <c r="J10" s="14">
        <v>7</v>
      </c>
      <c r="K10" s="14">
        <v>8</v>
      </c>
      <c r="L10" s="14">
        <v>9</v>
      </c>
      <c r="M10" s="14">
        <v>10</v>
      </c>
      <c r="N10" s="14">
        <v>11</v>
      </c>
      <c r="O10" s="14">
        <v>12</v>
      </c>
      <c r="P10" s="14">
        <v>13</v>
      </c>
      <c r="Q10" s="14">
        <v>14</v>
      </c>
      <c r="R10" s="14">
        <v>15</v>
      </c>
      <c r="S10" s="14">
        <v>16</v>
      </c>
      <c r="T10" s="14">
        <v>17</v>
      </c>
      <c r="U10" s="14">
        <v>18</v>
      </c>
      <c r="V10" s="14">
        <v>19</v>
      </c>
      <c r="W10" s="14">
        <v>20</v>
      </c>
      <c r="X10" s="14">
        <v>21</v>
      </c>
      <c r="Y10" s="14">
        <v>22</v>
      </c>
      <c r="Z10" s="14">
        <v>23</v>
      </c>
      <c r="AA10" s="14">
        <v>24</v>
      </c>
      <c r="AB10" s="14">
        <v>25</v>
      </c>
      <c r="AC10" s="14">
        <v>26</v>
      </c>
      <c r="AD10" s="14">
        <v>27</v>
      </c>
      <c r="AE10" s="14">
        <v>28</v>
      </c>
      <c r="AF10" s="14">
        <v>29</v>
      </c>
      <c r="AG10" s="14">
        <v>30</v>
      </c>
    </row>
    <row r="11" spans="1:33" ht="30" x14ac:dyDescent="0.25">
      <c r="A11" s="585" t="s">
        <v>667</v>
      </c>
      <c r="B11" s="15"/>
      <c r="C11" s="279">
        <f>+NPV(ACTUALMENTE!P28,ACTUALMENTE!A15:AG15)/B5</f>
        <v>1430584778.5821891</v>
      </c>
      <c r="D11" s="94">
        <f>+NPV(ACTUALMENTE!P28,ACTUALMENTE!A15:AG15)/$B$5</f>
        <v>1430584778.5821891</v>
      </c>
      <c r="E11" s="94">
        <f>+NPV(ACTUALMENTE!P28,ACTUALMENTE!A15:AG15)/$B$5</f>
        <v>1430584778.5821891</v>
      </c>
      <c r="F11" s="94">
        <f>+NPV(ACTUALMENTE!P28,ACTUALMENTE!A15:AG15)/$B$5</f>
        <v>1430584778.5821891</v>
      </c>
      <c r="G11" s="94">
        <f>+NPV(ACTUALMENTE!P28,ACTUALMENTE!A15:AG15)/$B$5</f>
        <v>1430584778.5821891</v>
      </c>
      <c r="H11" s="94">
        <f>+NPV(ACTUALMENTE!P28,ACTUALMENTE!A15:AG15)/$B$5</f>
        <v>1430584778.5821891</v>
      </c>
      <c r="I11" s="94">
        <f>+NPV(ACTUALMENTE!P28,ACTUALMENTE!A15:AG15)/$B$5</f>
        <v>1430584778.5821891</v>
      </c>
      <c r="J11" s="94">
        <f>+NPV(ACTUALMENTE!P28,ACTUALMENTE!A15:AG15)/$B$5</f>
        <v>1430584778.5821891</v>
      </c>
      <c r="K11" s="94">
        <f>+NPV(ACTUALMENTE!P28,ACTUALMENTE!A15:AG15)/$B$5</f>
        <v>1430584778.5821891</v>
      </c>
      <c r="L11" s="94">
        <f>+NPV(ACTUALMENTE!P28,ACTUALMENTE!A15:AG15)/$B$5</f>
        <v>1430584778.5821891</v>
      </c>
      <c r="M11" s="94">
        <f>+NPV(ACTUALMENTE!P28,ACTUALMENTE!A15:AG15)/$B$5</f>
        <v>1430584778.5821891</v>
      </c>
      <c r="N11" s="94">
        <f>+NPV(ACTUALMENTE!P28,ACTUALMENTE!A15:AG15)/$B$5</f>
        <v>1430584778.5821891</v>
      </c>
      <c r="O11" s="94">
        <f>+NPV(ACTUALMENTE!P28,ACTUALMENTE!A15:AG15)/$B$5</f>
        <v>1430584778.5821891</v>
      </c>
      <c r="P11" s="94">
        <f>+NPV(ACTUALMENTE!P28,ACTUALMENTE!A15:AG15)/$B$5</f>
        <v>1430584778.5821891</v>
      </c>
      <c r="Q11" s="94">
        <f>+$D$5/$B$5+IF('F de CP'!$A$36=2,'Dep y Dif REFURBISHMENT'!$P$11,0)</f>
        <v>1430584778.5821891</v>
      </c>
      <c r="R11" s="94">
        <f>+$D$5/$B$5+IF('F de CP'!$A$36=2,'Dep y Dif REFURBISHMENT'!$P$11,0)</f>
        <v>1430584778.5821891</v>
      </c>
      <c r="S11" s="94">
        <f>+$D$5/$B$5+IF('F de CP'!$A$36=2,'Dep y Dif REFURBISHMENT'!$P$11,0)</f>
        <v>1430584778.5821891</v>
      </c>
      <c r="T11" s="94">
        <f>+$D$5/$B$5+IF('F de CP'!$A$36=2,'Dep y Dif REFURBISHMENT'!$P$11,0)</f>
        <v>1430584778.5821891</v>
      </c>
      <c r="U11" s="94">
        <f>+$D$5/$B$5+IF('F de CP'!$A$36=2,'Dep y Dif REFURBISHMENT'!$P$11,0)</f>
        <v>1430584778.5821891</v>
      </c>
      <c r="V11" s="94">
        <f>+$D$5/$B$5+IF('F de CP'!$A$36=2,'Dep y Dif REFURBISHMENT'!$P$11,0)</f>
        <v>1430584778.5821891</v>
      </c>
      <c r="W11" s="94">
        <f>+$D$5/$B$5+IF('F de CP'!$A$36=2,'Dep y Dif REFURBISHMENT'!$P$11,0)</f>
        <v>1430584778.5821891</v>
      </c>
      <c r="X11" s="94">
        <f>+$D$5/$B$5+IF('F de CP'!$A$36=2,'Dep y Dif REFURBISHMENT'!$P$11,0)</f>
        <v>1430584778.5821891</v>
      </c>
      <c r="Y11" s="94">
        <f>+$D$5/$B$5+IF('F de CP'!$A$36=2,'Dep y Dif REFURBISHMENT'!$P$11,0)</f>
        <v>1430584778.5821891</v>
      </c>
      <c r="Z11" s="94">
        <f>+$D$5/$B$5+IF('F de CP'!$A$36=2,'Dep y Dif REFURBISHMENT'!$P$11,0)</f>
        <v>1430584778.5821891</v>
      </c>
      <c r="AA11" s="94">
        <f>+$D$5/$B$5+IF('F de CP'!$A$36=2,'Dep y Dif REFURBISHMENT'!$P$11,0)</f>
        <v>1430584778.5821891</v>
      </c>
      <c r="AB11" s="94">
        <f>+$D$5/$B$5+IF('F de CP'!$A$36=2,'Dep y Dif REFURBISHMENT'!$P$11,0)</f>
        <v>1430584778.5821891</v>
      </c>
      <c r="AC11" s="94">
        <f>+$D$5/$B$5+IF('F de CP'!$A$36=2,'Dep y Dif REFURBISHMENT'!$P$11,0)</f>
        <v>1430584778.5821891</v>
      </c>
      <c r="AD11" s="94">
        <f>+$D$5/$B$5+IF('F de CP'!$A$36=2,'Dep y Dif REFURBISHMENT'!$P$11,0)</f>
        <v>1430584778.5821891</v>
      </c>
      <c r="AE11" s="94">
        <f>+$D$5/$B$5+IF('F de CP'!$A$36=2,'Dep y Dif REFURBISHMENT'!$P$11,0)</f>
        <v>1430584778.5821891</v>
      </c>
      <c r="AF11" s="94">
        <f>+$D$5/$B$5+IF('F de CP'!$A$36=2,'Dep y Dif REFURBISHMENT'!$P$11,0)</f>
        <v>1430584778.5821891</v>
      </c>
      <c r="AG11" s="94">
        <f>+$D$5/$B$5+IF('F de CP'!$A$36=2,'Dep y Dif REFURBISHMENT'!$P$11,0)</f>
        <v>1430584778.5821891</v>
      </c>
    </row>
    <row r="12" spans="1:33" x14ac:dyDescent="0.25">
      <c r="A12" s="549" t="s">
        <v>670</v>
      </c>
      <c r="B12" s="15"/>
      <c r="C12" s="15"/>
      <c r="D12" s="94">
        <f t="shared" ref="D12:AG12" si="0">+C12+D11</f>
        <v>1430584778.5821891</v>
      </c>
      <c r="E12" s="94">
        <f t="shared" si="0"/>
        <v>2861169557.1643782</v>
      </c>
      <c r="F12" s="94">
        <f t="shared" si="0"/>
        <v>4291754335.7465672</v>
      </c>
      <c r="G12" s="94">
        <f t="shared" si="0"/>
        <v>5722339114.3287563</v>
      </c>
      <c r="H12" s="94">
        <f t="shared" si="0"/>
        <v>7152923892.9109459</v>
      </c>
      <c r="I12" s="94">
        <f t="shared" si="0"/>
        <v>8583508671.4931355</v>
      </c>
      <c r="J12" s="94">
        <f t="shared" si="0"/>
        <v>10014093450.075325</v>
      </c>
      <c r="K12" s="94">
        <f t="shared" si="0"/>
        <v>11444678228.657515</v>
      </c>
      <c r="L12" s="94">
        <f t="shared" si="0"/>
        <v>12875263007.239704</v>
      </c>
      <c r="M12" s="94">
        <f t="shared" si="0"/>
        <v>14305847785.821894</v>
      </c>
      <c r="N12" s="94">
        <f t="shared" si="0"/>
        <v>15736432564.404083</v>
      </c>
      <c r="O12" s="94">
        <f t="shared" si="0"/>
        <v>17167017342.986273</v>
      </c>
      <c r="P12" s="94">
        <f t="shared" si="0"/>
        <v>18597602121.568462</v>
      </c>
      <c r="Q12" s="94">
        <f t="shared" si="0"/>
        <v>20028186900.15065</v>
      </c>
      <c r="R12" s="94">
        <f t="shared" si="0"/>
        <v>21458771678.732838</v>
      </c>
      <c r="S12" s="94">
        <f t="shared" si="0"/>
        <v>22889356457.315025</v>
      </c>
      <c r="T12" s="94">
        <f t="shared" si="0"/>
        <v>24319941235.897213</v>
      </c>
      <c r="U12" s="94">
        <f t="shared" si="0"/>
        <v>25750526014.479401</v>
      </c>
      <c r="V12" s="94">
        <f t="shared" si="0"/>
        <v>27181110793.061588</v>
      </c>
      <c r="W12" s="94">
        <f t="shared" si="0"/>
        <v>28611695571.643776</v>
      </c>
      <c r="X12" s="94">
        <f t="shared" si="0"/>
        <v>30042280350.225964</v>
      </c>
      <c r="Y12" s="94">
        <f t="shared" si="0"/>
        <v>31472865128.808151</v>
      </c>
      <c r="Z12" s="94">
        <f t="shared" si="0"/>
        <v>32903449907.390339</v>
      </c>
      <c r="AA12" s="94">
        <f t="shared" si="0"/>
        <v>34334034685.972527</v>
      </c>
      <c r="AB12" s="94">
        <f t="shared" si="0"/>
        <v>35764619464.554718</v>
      </c>
      <c r="AC12" s="94">
        <f t="shared" si="0"/>
        <v>37195204243.136909</v>
      </c>
      <c r="AD12" s="94">
        <f t="shared" si="0"/>
        <v>38625789021.719101</v>
      </c>
      <c r="AE12" s="94">
        <f t="shared" si="0"/>
        <v>40056373800.301292</v>
      </c>
      <c r="AF12" s="94">
        <f t="shared" si="0"/>
        <v>41486958578.883484</v>
      </c>
      <c r="AG12" s="94">
        <f t="shared" si="0"/>
        <v>42917543357.465675</v>
      </c>
    </row>
    <row r="13" spans="1:33" x14ac:dyDescent="0.25">
      <c r="A13" s="549" t="s">
        <v>31</v>
      </c>
      <c r="B13" s="15"/>
      <c r="C13" s="94">
        <f>NPV(ACTUALMENTE!P28,ACTUALMENTE!$A$15:$AG$15)</f>
        <v>42917543357.465675</v>
      </c>
      <c r="D13" s="94">
        <f>C13-D11</f>
        <v>41486958578.883484</v>
      </c>
      <c r="E13" s="94">
        <f t="shared" ref="E13:AG13" si="1">D13-E11</f>
        <v>40056373800.301292</v>
      </c>
      <c r="F13" s="94">
        <f t="shared" si="1"/>
        <v>38625789021.719101</v>
      </c>
      <c r="G13" s="94">
        <f t="shared" si="1"/>
        <v>37195204243.136909</v>
      </c>
      <c r="H13" s="94">
        <f t="shared" si="1"/>
        <v>35764619464.554718</v>
      </c>
      <c r="I13" s="94">
        <f t="shared" si="1"/>
        <v>34334034685.97253</v>
      </c>
      <c r="J13" s="94">
        <f t="shared" si="1"/>
        <v>32903449907.390343</v>
      </c>
      <c r="K13" s="94">
        <f t="shared" si="1"/>
        <v>31472865128.808155</v>
      </c>
      <c r="L13" s="94">
        <f t="shared" si="1"/>
        <v>30042280350.225967</v>
      </c>
      <c r="M13" s="94">
        <f t="shared" si="1"/>
        <v>28611695571.64378</v>
      </c>
      <c r="N13" s="94">
        <f t="shared" si="1"/>
        <v>27181110793.061592</v>
      </c>
      <c r="O13" s="94">
        <f t="shared" si="1"/>
        <v>25750526014.479404</v>
      </c>
      <c r="P13" s="94">
        <f t="shared" si="1"/>
        <v>24319941235.897217</v>
      </c>
      <c r="Q13" s="94">
        <f t="shared" si="1"/>
        <v>22889356457.315029</v>
      </c>
      <c r="R13" s="94">
        <f t="shared" si="1"/>
        <v>21458771678.732841</v>
      </c>
      <c r="S13" s="94">
        <f t="shared" si="1"/>
        <v>20028186900.150654</v>
      </c>
      <c r="T13" s="94">
        <f t="shared" si="1"/>
        <v>18597602121.568466</v>
      </c>
      <c r="U13" s="94">
        <f t="shared" si="1"/>
        <v>17167017342.986277</v>
      </c>
      <c r="V13" s="94">
        <f t="shared" si="1"/>
        <v>15736432564.404087</v>
      </c>
      <c r="W13" s="94">
        <f t="shared" si="1"/>
        <v>14305847785.821898</v>
      </c>
      <c r="X13" s="94">
        <f t="shared" si="1"/>
        <v>12875263007.239708</v>
      </c>
      <c r="Y13" s="94">
        <f t="shared" si="1"/>
        <v>11444678228.657518</v>
      </c>
      <c r="Z13" s="94">
        <f t="shared" si="1"/>
        <v>10014093450.075329</v>
      </c>
      <c r="AA13" s="94">
        <f t="shared" si="1"/>
        <v>8583508671.4931393</v>
      </c>
      <c r="AB13" s="94">
        <f t="shared" si="1"/>
        <v>7152923892.9109497</v>
      </c>
      <c r="AC13" s="94">
        <f t="shared" si="1"/>
        <v>5722339114.3287601</v>
      </c>
      <c r="AD13" s="94">
        <f t="shared" si="1"/>
        <v>4291754335.7465711</v>
      </c>
      <c r="AE13" s="94">
        <f t="shared" si="1"/>
        <v>2861169557.164382</v>
      </c>
      <c r="AF13" s="94">
        <f t="shared" si="1"/>
        <v>1430584778.5821929</v>
      </c>
      <c r="AG13" s="94">
        <f t="shared" si="1"/>
        <v>3.814697265625E-6</v>
      </c>
    </row>
    <row r="14" spans="1:33" x14ac:dyDescent="0.25">
      <c r="H14" s="23"/>
      <c r="I14" s="23"/>
      <c r="J14" s="23"/>
      <c r="P14" s="280"/>
      <c r="Q14" s="2"/>
    </row>
    <row r="15" spans="1:33" x14ac:dyDescent="0.25">
      <c r="B15" t="s">
        <v>34</v>
      </c>
      <c r="C15">
        <v>0</v>
      </c>
      <c r="D15">
        <v>1</v>
      </c>
      <c r="E15">
        <v>2</v>
      </c>
      <c r="F15">
        <v>3</v>
      </c>
      <c r="G15">
        <v>4</v>
      </c>
      <c r="H15" s="23">
        <v>5</v>
      </c>
      <c r="I15">
        <v>6</v>
      </c>
      <c r="J15" s="23">
        <v>7</v>
      </c>
      <c r="K15">
        <v>8</v>
      </c>
      <c r="L15" s="23">
        <v>9</v>
      </c>
      <c r="M15">
        <v>10</v>
      </c>
      <c r="N15" s="23">
        <v>11</v>
      </c>
      <c r="O15">
        <v>12</v>
      </c>
      <c r="P15" s="23">
        <v>13</v>
      </c>
      <c r="Q15">
        <v>14</v>
      </c>
      <c r="R15" s="23">
        <v>15</v>
      </c>
      <c r="S15">
        <v>16</v>
      </c>
      <c r="T15" s="23">
        <v>17</v>
      </c>
      <c r="U15">
        <v>18</v>
      </c>
      <c r="V15" s="23">
        <v>19</v>
      </c>
      <c r="W15">
        <v>20</v>
      </c>
      <c r="X15" s="23">
        <v>21</v>
      </c>
      <c r="Y15">
        <v>22</v>
      </c>
      <c r="Z15" s="23">
        <v>23</v>
      </c>
      <c r="AA15">
        <v>24</v>
      </c>
      <c r="AB15" s="23">
        <v>25</v>
      </c>
      <c r="AC15">
        <v>26</v>
      </c>
      <c r="AD15" s="23">
        <v>27</v>
      </c>
      <c r="AE15">
        <v>28</v>
      </c>
      <c r="AF15" s="23">
        <v>29</v>
      </c>
      <c r="AG15">
        <v>30</v>
      </c>
    </row>
    <row r="16" spans="1:33" x14ac:dyDescent="0.25">
      <c r="A16" s="588" t="s">
        <v>712</v>
      </c>
      <c r="B16" s="86">
        <v>0.05</v>
      </c>
      <c r="C16" s="87"/>
      <c r="D16" s="87">
        <f>+REEMPLAZO!D10*$B$16</f>
        <v>615460231.5179013</v>
      </c>
      <c r="E16" s="87">
        <f>+REEMPLAZO!E10*$B$16</f>
        <v>725034711.08098888</v>
      </c>
      <c r="F16" s="87">
        <f>+REEMPLAZO!F10*$B$16</f>
        <v>863997892.79216003</v>
      </c>
      <c r="G16" s="87">
        <f>+REEMPLAZO!G10*$B$16</f>
        <v>1047978887.0785897</v>
      </c>
      <c r="H16" s="87">
        <f>+REEMPLAZO!H10*$B$16</f>
        <v>1000901555.3255755</v>
      </c>
      <c r="I16" s="87">
        <f>+REEMPLAZO!I10*$B$16</f>
        <v>902861497.18918347</v>
      </c>
      <c r="J16" s="87">
        <f>+REEMPLAZO!J10*$B$16</f>
        <v>968157135.8636378</v>
      </c>
      <c r="K16" s="87">
        <f>+REEMPLAZO!K10*$B$16</f>
        <v>864285942.99682486</v>
      </c>
      <c r="L16" s="87">
        <f>+REEMPLAZO!L10*$B$16</f>
        <v>891245471.23970366</v>
      </c>
      <c r="M16" s="87">
        <f>+REEMPLAZO!M10*$B$16</f>
        <v>955869541.84876788</v>
      </c>
      <c r="N16" s="87">
        <f>+REEMPLAZO!N10*$B$16</f>
        <v>878153984.89759314</v>
      </c>
      <c r="O16" s="87">
        <f>+REEMPLAZO!O10*$B$16</f>
        <v>926705955.76009238</v>
      </c>
      <c r="P16" s="87">
        <f>+REEMPLAZO!P10*$B$16</f>
        <v>1000329269.3180943</v>
      </c>
      <c r="Q16" s="87">
        <f>+REEMPLAZO!Q10*$B$16</f>
        <v>1057853905.9219853</v>
      </c>
      <c r="R16" s="87">
        <f>+REEMPLAZO!R10*$B$16</f>
        <v>1122260381.6555798</v>
      </c>
      <c r="S16" s="87">
        <f>+REEMPLAZO!S10*$B$16</f>
        <v>1190588673.2929647</v>
      </c>
      <c r="T16" s="87">
        <f>+REEMPLAZO!T10*$B$16</f>
        <v>1263077602.1916921</v>
      </c>
      <c r="U16" s="87">
        <f>+REEMPLAZO!U10*$B$16</f>
        <v>1339980533.3785982</v>
      </c>
      <c r="V16" s="87">
        <f>+REEMPLAZO!V10*$B$16</f>
        <v>1421566261.241616</v>
      </c>
      <c r="W16" s="87">
        <f>+REEMPLAZO!W10*$B$16</f>
        <v>1508119949.1596603</v>
      </c>
      <c r="X16" s="87">
        <f>+REEMPLAZO!X10*$B$16</f>
        <v>1599944126.3553836</v>
      </c>
      <c r="Y16" s="87">
        <f>+REEMPLAZO!Y10*$B$16</f>
        <v>1697359745.455667</v>
      </c>
      <c r="Z16" s="87">
        <f>+REEMPLAZO!Z10*$B$16</f>
        <v>1800707304.4569254</v>
      </c>
      <c r="AA16" s="87">
        <f>+REEMPLAZO!AA10*$B$16</f>
        <v>1910348037.017457</v>
      </c>
      <c r="AB16" s="87">
        <f>+REEMPLAZO!AB10*$B$16</f>
        <v>2026665175.2379358</v>
      </c>
      <c r="AC16" s="87">
        <f>+REEMPLAZO!AC10*$B$16</f>
        <v>2150065289.3445578</v>
      </c>
      <c r="AD16" s="87">
        <f>+REEMPLAZO!AD10*$B$16</f>
        <v>2280979708.9581809</v>
      </c>
      <c r="AE16" s="87">
        <f>+REEMPLAZO!AE10*$B$16</f>
        <v>2419866030.918035</v>
      </c>
      <c r="AF16" s="87">
        <f>+REEMPLAZO!AF10*$B$16</f>
        <v>2567209718.9311423</v>
      </c>
      <c r="AG16" s="87">
        <f>+REEMPLAZO!AG10*$B$16</f>
        <v>2723525800.6396141</v>
      </c>
    </row>
    <row r="17" spans="1:33" x14ac:dyDescent="0.25">
      <c r="A17" s="588" t="s">
        <v>672</v>
      </c>
      <c r="B17" s="16"/>
      <c r="C17" s="96"/>
      <c r="D17" s="96">
        <f>+D16</f>
        <v>615460231.5179013</v>
      </c>
      <c r="E17" s="96">
        <f t="shared" ref="E17:AG17" si="2">+E16-D16</f>
        <v>109574479.56308758</v>
      </c>
      <c r="F17" s="96">
        <f t="shared" si="2"/>
        <v>138963181.71117115</v>
      </c>
      <c r="G17" s="96">
        <f t="shared" si="2"/>
        <v>183980994.28642964</v>
      </c>
      <c r="H17" s="96">
        <f t="shared" si="2"/>
        <v>-47077331.753014207</v>
      </c>
      <c r="I17" s="96">
        <f t="shared" si="2"/>
        <v>-98040058.136391997</v>
      </c>
      <c r="J17" s="96">
        <f t="shared" si="2"/>
        <v>65295638.674454331</v>
      </c>
      <c r="K17" s="96">
        <f t="shared" si="2"/>
        <v>-103871192.86681294</v>
      </c>
      <c r="L17" s="96">
        <f t="shared" si="2"/>
        <v>26959528.242878795</v>
      </c>
      <c r="M17" s="96">
        <f t="shared" si="2"/>
        <v>64624070.609064221</v>
      </c>
      <c r="N17" s="96">
        <f t="shared" si="2"/>
        <v>-77715556.951174736</v>
      </c>
      <c r="O17" s="96">
        <f t="shared" si="2"/>
        <v>48551970.862499237</v>
      </c>
      <c r="P17" s="96">
        <f t="shared" si="2"/>
        <v>73623313.558001876</v>
      </c>
      <c r="Q17" s="96">
        <f t="shared" si="2"/>
        <v>57524636.603891015</v>
      </c>
      <c r="R17" s="96">
        <f t="shared" si="2"/>
        <v>64406475.733594537</v>
      </c>
      <c r="S17" s="96">
        <f t="shared" si="2"/>
        <v>68328291.637384892</v>
      </c>
      <c r="T17" s="96">
        <f t="shared" si="2"/>
        <v>72488928.898727417</v>
      </c>
      <c r="U17" s="96">
        <f t="shared" si="2"/>
        <v>76902931.186906099</v>
      </c>
      <c r="V17" s="96">
        <f t="shared" si="2"/>
        <v>81585727.863017797</v>
      </c>
      <c r="W17" s="96">
        <f t="shared" si="2"/>
        <v>86553687.918044329</v>
      </c>
      <c r="X17" s="96">
        <f t="shared" si="2"/>
        <v>91824177.195723295</v>
      </c>
      <c r="Y17" s="96">
        <f t="shared" si="2"/>
        <v>97415619.100283384</v>
      </c>
      <c r="Z17" s="96">
        <f t="shared" si="2"/>
        <v>103347559.00125837</v>
      </c>
      <c r="AA17" s="96">
        <f t="shared" si="2"/>
        <v>109640732.56053162</v>
      </c>
      <c r="AB17" s="96">
        <f t="shared" si="2"/>
        <v>116317138.22047877</v>
      </c>
      <c r="AC17" s="96">
        <f t="shared" si="2"/>
        <v>123400114.10662198</v>
      </c>
      <c r="AD17" s="96">
        <f t="shared" si="2"/>
        <v>130914419.61362314</v>
      </c>
      <c r="AE17" s="96">
        <f t="shared" si="2"/>
        <v>138886321.95985413</v>
      </c>
      <c r="AF17" s="96">
        <f t="shared" si="2"/>
        <v>147343688.0131073</v>
      </c>
      <c r="AG17" s="96">
        <f t="shared" si="2"/>
        <v>156316081.70847178</v>
      </c>
    </row>
    <row r="18" spans="1:33" x14ac:dyDescent="0.25">
      <c r="B18" s="16"/>
      <c r="C18" s="362"/>
      <c r="D18" s="16"/>
      <c r="E18" s="16"/>
      <c r="F18" s="16"/>
      <c r="G18" s="16"/>
      <c r="H18" s="97"/>
      <c r="I18" s="97"/>
      <c r="J18" s="97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 x14ac:dyDescent="0.25">
      <c r="H19" s="23"/>
      <c r="I19" s="23"/>
      <c r="J19" s="23"/>
    </row>
    <row r="20" spans="1:33" ht="26.25" x14ac:dyDescent="0.4">
      <c r="B20" s="361" t="s">
        <v>433</v>
      </c>
      <c r="H20" s="23"/>
      <c r="I20" s="23"/>
      <c r="J20" s="23"/>
    </row>
    <row r="22" spans="1:33" s="453" customFormat="1" x14ac:dyDescent="0.25">
      <c r="A22" s="549"/>
      <c r="B22" s="583" t="s">
        <v>2</v>
      </c>
      <c r="C22" s="549" t="s">
        <v>0</v>
      </c>
      <c r="D22" s="549" t="s">
        <v>1</v>
      </c>
      <c r="E22" s="549" t="s">
        <v>32</v>
      </c>
      <c r="F22" s="549" t="s">
        <v>673</v>
      </c>
      <c r="G22" s="549" t="s">
        <v>674</v>
      </c>
      <c r="H22" s="549" t="s">
        <v>675</v>
      </c>
      <c r="J22" s="591"/>
      <c r="K22" s="591"/>
      <c r="L22" s="590"/>
    </row>
    <row r="23" spans="1:33" x14ac:dyDescent="0.25">
      <c r="A23" s="549" t="s">
        <v>30</v>
      </c>
      <c r="B23" s="15">
        <v>30</v>
      </c>
      <c r="C23" s="92">
        <v>1</v>
      </c>
      <c r="D23" s="93">
        <f>+ACTUALMENTE!D63*C23</f>
        <v>0</v>
      </c>
      <c r="E23" s="93">
        <f>+D23*0</f>
        <v>0</v>
      </c>
      <c r="F23" s="93">
        <f>+E23</f>
        <v>0</v>
      </c>
      <c r="G23" s="93">
        <f>+F23*0.33</f>
        <v>0</v>
      </c>
      <c r="H23" s="94">
        <f>+F23-G23</f>
        <v>0</v>
      </c>
      <c r="J23" s="13"/>
      <c r="K23" s="16"/>
      <c r="L23" s="16"/>
    </row>
    <row r="24" spans="1:33" ht="30" x14ac:dyDescent="0.25">
      <c r="A24" s="585" t="s">
        <v>667</v>
      </c>
      <c r="B24" s="15">
        <v>17</v>
      </c>
      <c r="C24" s="92">
        <v>1</v>
      </c>
      <c r="D24" s="232">
        <f>'Refurbishment SVC'!E55*1900</f>
        <v>13993748900</v>
      </c>
      <c r="E24" s="93">
        <f>+D24*0</f>
        <v>0</v>
      </c>
      <c r="F24" s="93">
        <f>+E24</f>
        <v>0</v>
      </c>
      <c r="G24" s="93">
        <f>+F24*0.33</f>
        <v>0</v>
      </c>
      <c r="H24" s="94">
        <f>+F24-G24</f>
        <v>0</v>
      </c>
      <c r="J24" s="16"/>
      <c r="K24" s="16"/>
      <c r="L24" s="16"/>
    </row>
    <row r="25" spans="1:33" x14ac:dyDescent="0.25">
      <c r="A25" s="549" t="s">
        <v>33</v>
      </c>
      <c r="B25" s="15"/>
      <c r="C25" s="92"/>
      <c r="D25" s="93">
        <f>+ACTUALMENTE!D62</f>
        <v>0</v>
      </c>
      <c r="E25" s="94">
        <f>+D25*1.3</f>
        <v>0</v>
      </c>
      <c r="F25" s="93">
        <v>0</v>
      </c>
      <c r="G25" s="93">
        <v>0</v>
      </c>
      <c r="H25" s="94">
        <f>+E25</f>
        <v>0</v>
      </c>
    </row>
    <row r="26" spans="1:33" x14ac:dyDescent="0.25">
      <c r="A26" s="549" t="s">
        <v>668</v>
      </c>
      <c r="B26" s="15"/>
      <c r="C26" s="92"/>
      <c r="D26" s="93"/>
      <c r="E26" s="95">
        <v>0</v>
      </c>
      <c r="F26" s="93">
        <v>0</v>
      </c>
      <c r="G26" s="93">
        <v>0</v>
      </c>
      <c r="H26" s="95">
        <f>+E26</f>
        <v>0</v>
      </c>
    </row>
    <row r="27" spans="1:33" x14ac:dyDescent="0.25">
      <c r="A27" s="549"/>
      <c r="B27" s="14"/>
      <c r="C27" s="25"/>
      <c r="D27" s="26"/>
      <c r="E27" s="27"/>
      <c r="F27" s="14"/>
      <c r="G27" s="14" t="s">
        <v>38</v>
      </c>
      <c r="H27" s="19">
        <f>SUM(H23:H26)</f>
        <v>0</v>
      </c>
    </row>
    <row r="28" spans="1:33" ht="18.75" x14ac:dyDescent="0.3">
      <c r="A28" s="586" t="s">
        <v>41</v>
      </c>
      <c r="B28" s="17">
        <v>2013</v>
      </c>
      <c r="C28" s="364">
        <v>2014</v>
      </c>
      <c r="D28" s="364">
        <v>2015</v>
      </c>
      <c r="E28" s="364">
        <v>2016</v>
      </c>
      <c r="F28" s="364">
        <v>2017</v>
      </c>
      <c r="G28" s="364">
        <v>2018</v>
      </c>
      <c r="H28" s="364">
        <v>2019</v>
      </c>
      <c r="I28" s="364">
        <v>2020</v>
      </c>
      <c r="J28" s="364">
        <v>2021</v>
      </c>
      <c r="K28" s="364">
        <v>2022</v>
      </c>
      <c r="L28" s="364">
        <v>2023</v>
      </c>
      <c r="M28" s="364">
        <v>2024</v>
      </c>
      <c r="N28" s="364">
        <v>2025</v>
      </c>
      <c r="O28" s="364">
        <v>2026</v>
      </c>
      <c r="P28" s="364">
        <v>2027</v>
      </c>
      <c r="Q28" s="364">
        <v>2028</v>
      </c>
      <c r="R28" s="364">
        <v>2029</v>
      </c>
      <c r="S28" s="364">
        <v>2030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</row>
    <row r="29" spans="1:33" x14ac:dyDescent="0.25">
      <c r="A29" s="549"/>
      <c r="B29" s="14"/>
      <c r="C29" s="14">
        <v>14</v>
      </c>
      <c r="D29" s="14">
        <v>15</v>
      </c>
      <c r="E29" s="14">
        <v>16</v>
      </c>
      <c r="F29" s="14">
        <v>17</v>
      </c>
      <c r="G29" s="14">
        <v>18</v>
      </c>
      <c r="H29" s="14">
        <v>19</v>
      </c>
      <c r="I29" s="14">
        <v>20</v>
      </c>
      <c r="J29" s="14">
        <v>21</v>
      </c>
      <c r="K29" s="14">
        <v>22</v>
      </c>
      <c r="L29" s="14">
        <v>23</v>
      </c>
      <c r="M29" s="14">
        <v>24</v>
      </c>
      <c r="N29" s="14">
        <v>25</v>
      </c>
      <c r="O29" s="14">
        <v>26</v>
      </c>
      <c r="P29" s="14">
        <v>27</v>
      </c>
      <c r="Q29" s="14">
        <v>28</v>
      </c>
      <c r="R29" s="14">
        <v>29</v>
      </c>
      <c r="S29" s="14">
        <v>30</v>
      </c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</row>
    <row r="30" spans="1:33" ht="31.5" x14ac:dyDescent="0.35">
      <c r="A30" s="585" t="s">
        <v>667</v>
      </c>
      <c r="B30" s="15"/>
      <c r="C30" s="94">
        <f>D24/B24</f>
        <v>823161700</v>
      </c>
      <c r="D30" s="365">
        <f>C30</f>
        <v>823161700</v>
      </c>
      <c r="E30" s="94">
        <f t="shared" ref="E30:R30" si="3">D30</f>
        <v>823161700</v>
      </c>
      <c r="F30" s="94">
        <f t="shared" si="3"/>
        <v>823161700</v>
      </c>
      <c r="G30" s="94">
        <f t="shared" si="3"/>
        <v>823161700</v>
      </c>
      <c r="H30" s="94">
        <f t="shared" si="3"/>
        <v>823161700</v>
      </c>
      <c r="I30" s="94">
        <f t="shared" si="3"/>
        <v>823161700</v>
      </c>
      <c r="J30" s="94">
        <f t="shared" si="3"/>
        <v>823161700</v>
      </c>
      <c r="K30" s="94">
        <f t="shared" si="3"/>
        <v>823161700</v>
      </c>
      <c r="L30" s="94">
        <f t="shared" si="3"/>
        <v>823161700</v>
      </c>
      <c r="M30" s="94">
        <f t="shared" si="3"/>
        <v>823161700</v>
      </c>
      <c r="N30" s="94">
        <f t="shared" si="3"/>
        <v>823161700</v>
      </c>
      <c r="O30" s="94">
        <f t="shared" si="3"/>
        <v>823161700</v>
      </c>
      <c r="P30" s="94">
        <f t="shared" si="3"/>
        <v>823161700</v>
      </c>
      <c r="Q30" s="94">
        <f t="shared" si="3"/>
        <v>823161700</v>
      </c>
      <c r="R30" s="94">
        <f t="shared" si="3"/>
        <v>823161700</v>
      </c>
      <c r="S30" s="94">
        <f>R30</f>
        <v>823161700</v>
      </c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</row>
    <row r="31" spans="1:33" x14ac:dyDescent="0.25">
      <c r="A31" s="549" t="s">
        <v>670</v>
      </c>
      <c r="B31" s="15"/>
      <c r="C31" s="94">
        <f t="shared" ref="C31:S31" si="4">+B31+C30</f>
        <v>823161700</v>
      </c>
      <c r="D31" s="94">
        <f t="shared" si="4"/>
        <v>1646323400</v>
      </c>
      <c r="E31" s="94">
        <f t="shared" si="4"/>
        <v>2469485100</v>
      </c>
      <c r="F31" s="94">
        <f t="shared" si="4"/>
        <v>3292646800</v>
      </c>
      <c r="G31" s="94">
        <f t="shared" si="4"/>
        <v>4115808500</v>
      </c>
      <c r="H31" s="94">
        <f t="shared" si="4"/>
        <v>4938970200</v>
      </c>
      <c r="I31" s="94">
        <f t="shared" si="4"/>
        <v>5762131900</v>
      </c>
      <c r="J31" s="94">
        <f t="shared" si="4"/>
        <v>6585293600</v>
      </c>
      <c r="K31" s="94">
        <f t="shared" si="4"/>
        <v>7408455300</v>
      </c>
      <c r="L31" s="94">
        <f t="shared" si="4"/>
        <v>8231617000</v>
      </c>
      <c r="M31" s="94">
        <f t="shared" si="4"/>
        <v>9054778700</v>
      </c>
      <c r="N31" s="94">
        <f t="shared" si="4"/>
        <v>9877940400</v>
      </c>
      <c r="O31" s="94">
        <f t="shared" si="4"/>
        <v>10701102100</v>
      </c>
      <c r="P31" s="94">
        <f t="shared" si="4"/>
        <v>11524263800</v>
      </c>
      <c r="Q31" s="94">
        <f t="shared" si="4"/>
        <v>12347425500</v>
      </c>
      <c r="R31" s="94">
        <f t="shared" si="4"/>
        <v>13170587200</v>
      </c>
      <c r="S31" s="94">
        <f t="shared" si="4"/>
        <v>13993748900</v>
      </c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</row>
    <row r="32" spans="1:33" x14ac:dyDescent="0.25">
      <c r="A32" s="549" t="s">
        <v>31</v>
      </c>
      <c r="B32" s="363">
        <f>D24</f>
        <v>13993748900</v>
      </c>
      <c r="C32" s="94">
        <f>B32-C30</f>
        <v>13170587200</v>
      </c>
      <c r="D32" s="94">
        <f t="shared" ref="D32:S32" si="5">C32-D30</f>
        <v>12347425500</v>
      </c>
      <c r="E32" s="94">
        <f t="shared" si="5"/>
        <v>11524263800</v>
      </c>
      <c r="F32" s="94">
        <f t="shared" si="5"/>
        <v>10701102100</v>
      </c>
      <c r="G32" s="94">
        <f t="shared" si="5"/>
        <v>9877940400</v>
      </c>
      <c r="H32" s="94">
        <f t="shared" si="5"/>
        <v>9054778700</v>
      </c>
      <c r="I32" s="94">
        <f t="shared" si="5"/>
        <v>8231617000</v>
      </c>
      <c r="J32" s="94">
        <f t="shared" si="5"/>
        <v>7408455300</v>
      </c>
      <c r="K32" s="94">
        <f t="shared" si="5"/>
        <v>6585293600</v>
      </c>
      <c r="L32" s="94">
        <f t="shared" si="5"/>
        <v>5762131900</v>
      </c>
      <c r="M32" s="94">
        <f t="shared" si="5"/>
        <v>4938970200</v>
      </c>
      <c r="N32" s="94">
        <f t="shared" si="5"/>
        <v>4115808500</v>
      </c>
      <c r="O32" s="94">
        <f t="shared" si="5"/>
        <v>3292646800</v>
      </c>
      <c r="P32" s="94">
        <f t="shared" si="5"/>
        <v>2469485100</v>
      </c>
      <c r="Q32" s="94">
        <f t="shared" si="5"/>
        <v>1646323400</v>
      </c>
      <c r="R32" s="94">
        <f t="shared" si="5"/>
        <v>823161700</v>
      </c>
      <c r="S32" s="94">
        <f t="shared" si="5"/>
        <v>0</v>
      </c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</row>
    <row r="33" spans="1:45" x14ac:dyDescent="0.25">
      <c r="H33" s="23"/>
      <c r="I33" s="23"/>
      <c r="J33" s="23"/>
      <c r="P33" s="280"/>
      <c r="Q33" s="2"/>
    </row>
    <row r="34" spans="1:45" x14ac:dyDescent="0.25">
      <c r="B34" t="s">
        <v>34</v>
      </c>
      <c r="C34">
        <v>0</v>
      </c>
      <c r="D34">
        <v>1</v>
      </c>
      <c r="E34">
        <v>2</v>
      </c>
      <c r="F34">
        <v>3</v>
      </c>
      <c r="G34">
        <v>4</v>
      </c>
      <c r="H34" s="23">
        <v>5</v>
      </c>
      <c r="I34">
        <v>6</v>
      </c>
      <c r="J34" s="23">
        <v>7</v>
      </c>
      <c r="K34">
        <v>8</v>
      </c>
      <c r="L34" s="23">
        <v>9</v>
      </c>
      <c r="M34">
        <v>10</v>
      </c>
      <c r="N34" s="23">
        <v>11</v>
      </c>
      <c r="O34">
        <v>12</v>
      </c>
      <c r="P34" s="23">
        <v>13</v>
      </c>
      <c r="Q34">
        <v>14</v>
      </c>
      <c r="R34" s="23">
        <v>15</v>
      </c>
      <c r="S34">
        <v>16</v>
      </c>
      <c r="T34" s="23">
        <v>17</v>
      </c>
      <c r="U34">
        <v>18</v>
      </c>
      <c r="V34" s="23">
        <v>19</v>
      </c>
      <c r="W34">
        <v>20</v>
      </c>
      <c r="X34" s="23">
        <v>21</v>
      </c>
      <c r="Y34">
        <v>22</v>
      </c>
      <c r="Z34" s="23">
        <v>23</v>
      </c>
      <c r="AA34">
        <v>24</v>
      </c>
      <c r="AB34" s="23">
        <v>25</v>
      </c>
      <c r="AC34">
        <v>26</v>
      </c>
      <c r="AD34" s="23">
        <v>27</v>
      </c>
      <c r="AE34">
        <v>28</v>
      </c>
      <c r="AF34" s="23">
        <v>29</v>
      </c>
    </row>
    <row r="35" spans="1:45" x14ac:dyDescent="0.25">
      <c r="A35" s="588" t="s">
        <v>712</v>
      </c>
      <c r="B35" s="86">
        <v>0.05</v>
      </c>
      <c r="C35" s="87"/>
      <c r="D35" s="87">
        <f>+ACTUALMENTE!D30*$B$16</f>
        <v>5.5518898122404042E-2</v>
      </c>
      <c r="E35" s="87">
        <f>+ACTUALMENTE!E30*$B$16</f>
        <v>5.9367181193731647E-2</v>
      </c>
      <c r="F35" s="87">
        <f>+ACTUALMENTE!F30*$B$16</f>
        <v>6.4876723809995082E-2</v>
      </c>
      <c r="G35" s="87">
        <f>+ACTUALMENTE!G30*$B$16</f>
        <v>6.8590086565493188E-2</v>
      </c>
      <c r="H35" s="87">
        <f>+ACTUALMENTE!H30*$B$16</f>
        <v>7.1772968927348704E-2</v>
      </c>
      <c r="I35" s="87">
        <f>+ACTUALMENTE!I30*$B$16</f>
        <v>7.3257324356171077E-2</v>
      </c>
      <c r="J35" s="87">
        <f>+ACTUALMENTE!J30*$B$16</f>
        <v>7.731676352063932E-2</v>
      </c>
      <c r="K35" s="87">
        <f>+ACTUALMENTE!K30*$B$16</f>
        <v>7.830009680242718E-2</v>
      </c>
      <c r="L35" s="87">
        <f>+ACTUALMENTE!L30*$B$16</f>
        <v>8.5343865107518735E-2</v>
      </c>
      <c r="M35" s="87">
        <f>+ACTUALMENTE!M30*$B$16</f>
        <v>8.3480495702652646E-2</v>
      </c>
      <c r="N35" s="87">
        <f>+ACTUALMENTE!N30*$B$16</f>
        <v>8.712991627981781E-2</v>
      </c>
      <c r="O35" s="87">
        <f>+ACTUALMENTE!O30*$B$16</f>
        <v>9.1660764708247411E-2</v>
      </c>
      <c r="P35" s="87">
        <f>+ACTUALMENTE!P30*$B$16</f>
        <v>9.4410587649494837E-2</v>
      </c>
      <c r="Q35" s="87">
        <f>+ACTUALMENTE!Q30*$B$16</f>
        <v>9.7242905278979677E-2</v>
      </c>
      <c r="R35" s="87">
        <f>+ACTUALMENTE!R30*$B$16</f>
        <v>0.10016019243734907</v>
      </c>
      <c r="S35" s="87">
        <f>+ACTUALMENTE!S30*$B$16</f>
        <v>0.10316499821046954</v>
      </c>
      <c r="T35" s="87">
        <f>$B$35*REEMPLAZO!AH10</f>
        <v>2889360668.0385499</v>
      </c>
      <c r="U35" s="87">
        <f>$B$35*REEMPLAZO!AI10</f>
        <v>3065293987.5385599</v>
      </c>
      <c r="V35" s="87">
        <f>$B$35*REEMPLAZO!AJ10</f>
        <v>3251940726.3502474</v>
      </c>
      <c r="W35" s="87">
        <f>$B$35*REEMPLAZO!AK10</f>
        <v>3449953302.2746263</v>
      </c>
      <c r="X35" s="87">
        <f>$B$35*REEMPLAZO!AL10</f>
        <v>3660023864.4148684</v>
      </c>
      <c r="Y35" s="87">
        <f>$B$35*REEMPLAZO!AM10</f>
        <v>3882886712.7824655</v>
      </c>
      <c r="Z35" s="87">
        <f>$B$35*REEMPLAZO!AN10</f>
        <v>4119320865.2564411</v>
      </c>
      <c r="AA35" s="87">
        <f>$B$35*REEMPLAZO!AO10</f>
        <v>4370152780.8693771</v>
      </c>
      <c r="AB35" s="87">
        <f>$B$35*REEMPLAZO!AP10</f>
        <v>4636259248.9405451</v>
      </c>
      <c r="AC35" s="87">
        <f>$B$35*REEMPLAZO!AQ10</f>
        <v>4918570454.1561651</v>
      </c>
      <c r="AD35" s="87">
        <f>$B$35*REEMPLAZO!AR10</f>
        <v>5218073228.3119822</v>
      </c>
      <c r="AE35" s="87">
        <f>$B$35*REEMPLAZO!AS10</f>
        <v>5535814500.0858145</v>
      </c>
      <c r="AF35" s="87">
        <f>$B$35*REEMPLAZO!AT10</f>
        <v>5872904954.9001017</v>
      </c>
    </row>
    <row r="36" spans="1:45" x14ac:dyDescent="0.25">
      <c r="A36" s="588" t="s">
        <v>713</v>
      </c>
      <c r="B36" s="16"/>
      <c r="C36" s="96"/>
      <c r="D36" s="96">
        <f>+D35</f>
        <v>5.5518898122404042E-2</v>
      </c>
      <c r="E36" s="96">
        <f t="shared" ref="E36:AF36" si="6">+E35-D35</f>
        <v>3.8482830713276045E-3</v>
      </c>
      <c r="F36" s="96">
        <f t="shared" si="6"/>
        <v>5.5095426162634353E-3</v>
      </c>
      <c r="G36" s="96">
        <f t="shared" si="6"/>
        <v>3.7133627554981063E-3</v>
      </c>
      <c r="H36" s="96">
        <f t="shared" si="6"/>
        <v>3.1828823618555158E-3</v>
      </c>
      <c r="I36" s="96">
        <f t="shared" si="6"/>
        <v>1.4843554288223731E-3</v>
      </c>
      <c r="J36" s="96">
        <f t="shared" si="6"/>
        <v>4.0594391644682426E-3</v>
      </c>
      <c r="K36" s="96">
        <f t="shared" si="6"/>
        <v>9.8333328178785984E-4</v>
      </c>
      <c r="L36" s="96">
        <f t="shared" si="6"/>
        <v>7.043768305091555E-3</v>
      </c>
      <c r="M36" s="96">
        <f t="shared" si="6"/>
        <v>-1.8633694048660887E-3</v>
      </c>
      <c r="N36" s="96">
        <f t="shared" si="6"/>
        <v>3.6494205771651633E-3</v>
      </c>
      <c r="O36" s="96">
        <f t="shared" si="6"/>
        <v>4.5308484284296013E-3</v>
      </c>
      <c r="P36" s="96">
        <f t="shared" si="6"/>
        <v>2.7498229412474262E-3</v>
      </c>
      <c r="Q36" s="96">
        <f t="shared" si="6"/>
        <v>2.8323176294848401E-3</v>
      </c>
      <c r="R36" s="96">
        <f t="shared" si="6"/>
        <v>2.9172871583693916E-3</v>
      </c>
      <c r="S36" s="96">
        <f t="shared" si="6"/>
        <v>3.0048057731204697E-3</v>
      </c>
      <c r="T36" s="96">
        <f t="shared" si="6"/>
        <v>2889360667.9353848</v>
      </c>
      <c r="U36" s="96">
        <f t="shared" si="6"/>
        <v>175933319.50001001</v>
      </c>
      <c r="V36" s="96">
        <f t="shared" si="6"/>
        <v>186646738.81168747</v>
      </c>
      <c r="W36" s="96">
        <f t="shared" si="6"/>
        <v>198012575.92437887</v>
      </c>
      <c r="X36" s="96">
        <f t="shared" si="6"/>
        <v>210070562.1402421</v>
      </c>
      <c r="Y36" s="96">
        <f t="shared" si="6"/>
        <v>222862848.3675971</v>
      </c>
      <c r="Z36" s="96">
        <f t="shared" si="6"/>
        <v>236434152.47397566</v>
      </c>
      <c r="AA36" s="96">
        <f t="shared" si="6"/>
        <v>250831915.61293602</v>
      </c>
      <c r="AB36" s="96">
        <f t="shared" si="6"/>
        <v>266106468.07116795</v>
      </c>
      <c r="AC36" s="96">
        <f t="shared" si="6"/>
        <v>282311205.21562004</v>
      </c>
      <c r="AD36" s="96">
        <f t="shared" si="6"/>
        <v>299502774.15581703</v>
      </c>
      <c r="AE36" s="96">
        <f t="shared" si="6"/>
        <v>317741271.77383232</v>
      </c>
      <c r="AF36" s="96">
        <f t="shared" si="6"/>
        <v>337090454.81428719</v>
      </c>
    </row>
    <row r="40" spans="1:45" x14ac:dyDescent="0.25">
      <c r="B40" s="146">
        <v>1999</v>
      </c>
      <c r="C40" s="106">
        <v>2000</v>
      </c>
      <c r="D40" s="106">
        <v>2001</v>
      </c>
      <c r="E40" s="106">
        <v>2002</v>
      </c>
      <c r="F40" s="106">
        <v>2003</v>
      </c>
      <c r="G40" s="106">
        <v>2004</v>
      </c>
      <c r="H40" s="106">
        <v>2005</v>
      </c>
      <c r="I40" s="106">
        <v>2006</v>
      </c>
      <c r="J40" s="106">
        <v>2007</v>
      </c>
      <c r="K40" s="106">
        <v>2008</v>
      </c>
      <c r="L40" s="106">
        <v>2009</v>
      </c>
      <c r="M40" s="106">
        <v>2010</v>
      </c>
      <c r="N40" s="106">
        <v>2011</v>
      </c>
      <c r="O40" s="106">
        <v>2012</v>
      </c>
      <c r="P40" s="106">
        <v>2013</v>
      </c>
      <c r="Q40" s="106">
        <v>2014</v>
      </c>
      <c r="R40" s="106">
        <v>2015</v>
      </c>
      <c r="S40" s="106">
        <v>2016</v>
      </c>
      <c r="T40" s="106">
        <v>2017</v>
      </c>
      <c r="U40" s="106">
        <v>2018</v>
      </c>
      <c r="V40" s="106">
        <v>2019</v>
      </c>
      <c r="W40" s="106">
        <v>2020</v>
      </c>
      <c r="X40" s="106">
        <v>2021</v>
      </c>
      <c r="Y40" s="106">
        <v>2022</v>
      </c>
      <c r="Z40" s="106">
        <v>2023</v>
      </c>
      <c r="AA40" s="106">
        <v>2024</v>
      </c>
      <c r="AB40" s="106">
        <v>2025</v>
      </c>
      <c r="AC40" s="106">
        <v>2026</v>
      </c>
      <c r="AD40" s="106">
        <v>2027</v>
      </c>
      <c r="AE40" s="106">
        <v>2028</v>
      </c>
      <c r="AF40" s="106">
        <v>2029</v>
      </c>
      <c r="AG40" s="106">
        <v>2030</v>
      </c>
      <c r="AH40" s="106">
        <v>2031</v>
      </c>
      <c r="AI40" s="106">
        <v>2032</v>
      </c>
      <c r="AJ40" s="106">
        <v>2033</v>
      </c>
      <c r="AK40" s="106">
        <v>2034</v>
      </c>
      <c r="AL40" s="106">
        <v>2035</v>
      </c>
      <c r="AM40" s="106">
        <v>2036</v>
      </c>
      <c r="AN40" s="106">
        <v>2037</v>
      </c>
      <c r="AO40" s="106">
        <v>2038</v>
      </c>
      <c r="AP40" s="106">
        <v>2039</v>
      </c>
      <c r="AQ40" s="106">
        <v>2040</v>
      </c>
      <c r="AR40" s="106">
        <v>2041</v>
      </c>
      <c r="AS40" s="106">
        <v>2042</v>
      </c>
    </row>
    <row r="41" spans="1:45" x14ac:dyDescent="0.25">
      <c r="A41" s="453" t="s">
        <v>434</v>
      </c>
      <c r="B41" s="234">
        <f>B30+B11</f>
        <v>0</v>
      </c>
      <c r="C41" s="234">
        <f>C11</f>
        <v>1430584778.5821891</v>
      </c>
      <c r="D41" s="234">
        <f>D11</f>
        <v>1430584778.5821891</v>
      </c>
      <c r="E41" s="234">
        <f>D41</f>
        <v>1430584778.5821891</v>
      </c>
      <c r="F41" s="234">
        <f t="shared" ref="F41:O41" si="7">E41</f>
        <v>1430584778.5821891</v>
      </c>
      <c r="G41" s="234">
        <f t="shared" si="7"/>
        <v>1430584778.5821891</v>
      </c>
      <c r="H41" s="234">
        <f t="shared" si="7"/>
        <v>1430584778.5821891</v>
      </c>
      <c r="I41" s="234">
        <f t="shared" si="7"/>
        <v>1430584778.5821891</v>
      </c>
      <c r="J41" s="234">
        <f t="shared" si="7"/>
        <v>1430584778.5821891</v>
      </c>
      <c r="K41" s="234">
        <f t="shared" si="7"/>
        <v>1430584778.5821891</v>
      </c>
      <c r="L41" s="234">
        <f t="shared" si="7"/>
        <v>1430584778.5821891</v>
      </c>
      <c r="M41" s="234">
        <f t="shared" si="7"/>
        <v>1430584778.5821891</v>
      </c>
      <c r="N41" s="234">
        <f t="shared" si="7"/>
        <v>1430584778.5821891</v>
      </c>
      <c r="O41" s="234">
        <f t="shared" si="7"/>
        <v>1430584778.5821891</v>
      </c>
      <c r="P41" s="234">
        <f>O41</f>
        <v>1430584778.5821891</v>
      </c>
      <c r="Q41" s="234">
        <f>C30+Q11</f>
        <v>2253746478.5821891</v>
      </c>
      <c r="R41" s="234">
        <f t="shared" ref="R41:AS41" si="8">D30+R11</f>
        <v>2253746478.5821891</v>
      </c>
      <c r="S41" s="234">
        <f t="shared" si="8"/>
        <v>2253746478.5821891</v>
      </c>
      <c r="T41" s="234">
        <f t="shared" si="8"/>
        <v>2253746478.5821891</v>
      </c>
      <c r="U41" s="234">
        <f t="shared" si="8"/>
        <v>2253746478.5821891</v>
      </c>
      <c r="V41" s="234">
        <f t="shared" si="8"/>
        <v>2253746478.5821891</v>
      </c>
      <c r="W41" s="234">
        <f t="shared" si="8"/>
        <v>2253746478.5821891</v>
      </c>
      <c r="X41" s="234">
        <f t="shared" si="8"/>
        <v>2253746478.5821891</v>
      </c>
      <c r="Y41" s="234">
        <f t="shared" si="8"/>
        <v>2253746478.5821891</v>
      </c>
      <c r="Z41" s="234">
        <f t="shared" si="8"/>
        <v>2253746478.5821891</v>
      </c>
      <c r="AA41" s="234">
        <f t="shared" si="8"/>
        <v>2253746478.5821891</v>
      </c>
      <c r="AB41" s="234">
        <f t="shared" si="8"/>
        <v>2253746478.5821891</v>
      </c>
      <c r="AC41" s="234">
        <f t="shared" si="8"/>
        <v>2253746478.5821891</v>
      </c>
      <c r="AD41" s="234">
        <f t="shared" si="8"/>
        <v>2253746478.5821891</v>
      </c>
      <c r="AE41" s="234">
        <f t="shared" si="8"/>
        <v>2253746478.5821891</v>
      </c>
      <c r="AF41" s="234">
        <f t="shared" si="8"/>
        <v>2253746478.5821891</v>
      </c>
      <c r="AG41" s="234">
        <f t="shared" si="8"/>
        <v>2253746478.5821891</v>
      </c>
      <c r="AH41" s="234">
        <f t="shared" si="8"/>
        <v>0</v>
      </c>
      <c r="AI41" s="234">
        <f t="shared" si="8"/>
        <v>0</v>
      </c>
      <c r="AJ41" s="234">
        <f t="shared" si="8"/>
        <v>0</v>
      </c>
      <c r="AK41" s="234">
        <f t="shared" si="8"/>
        <v>0</v>
      </c>
      <c r="AL41" s="234">
        <f t="shared" si="8"/>
        <v>0</v>
      </c>
      <c r="AM41" s="234">
        <f t="shared" si="8"/>
        <v>0</v>
      </c>
      <c r="AN41" s="234">
        <f t="shared" si="8"/>
        <v>0</v>
      </c>
      <c r="AO41" s="234">
        <f t="shared" si="8"/>
        <v>0</v>
      </c>
      <c r="AP41" s="234">
        <f t="shared" si="8"/>
        <v>0</v>
      </c>
      <c r="AQ41" s="234">
        <f t="shared" si="8"/>
        <v>0</v>
      </c>
      <c r="AR41" s="234">
        <f t="shared" si="8"/>
        <v>0</v>
      </c>
      <c r="AS41" s="234">
        <f t="shared" si="8"/>
        <v>0</v>
      </c>
    </row>
  </sheetData>
  <pageMargins left="0.7" right="0.7" top="0.75" bottom="0.75" header="0.3" footer="0.3"/>
  <pageSetup orientation="landscape" r:id="rId1"/>
  <headerFooter>
    <oddHeader>&amp;C&amp;F-&amp;A-&amp;P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63"/>
  <sheetViews>
    <sheetView view="pageBreakPreview" zoomScaleNormal="25" zoomScaleSheetLayoutView="100" zoomScalePageLayoutView="85" workbookViewId="0">
      <pane xSplit="3" ySplit="6" topLeftCell="D73" activePane="bottomRight" state="frozen"/>
      <selection pane="topRight" activeCell="D1" sqref="D1"/>
      <selection pane="bottomLeft" activeCell="A7" sqref="A7"/>
      <selection pane="bottomRight" activeCell="E33" sqref="E33"/>
    </sheetView>
  </sheetViews>
  <sheetFormatPr baseColWidth="10" defaultRowHeight="15" x14ac:dyDescent="0.25"/>
  <cols>
    <col min="1" max="1" width="16.42578125" customWidth="1"/>
    <col min="2" max="2" width="5.85546875" style="3" customWidth="1"/>
    <col min="3" max="3" width="49.85546875" style="453" bestFit="1" customWidth="1"/>
    <col min="4" max="6" width="19.42578125" style="1" customWidth="1"/>
    <col min="7" max="7" width="16.7109375" style="1" customWidth="1"/>
    <col min="8" max="8" width="17.85546875" style="1" bestFit="1" customWidth="1"/>
    <col min="9" max="18" width="17.85546875" bestFit="1" customWidth="1"/>
    <col min="19" max="19" width="18" bestFit="1" customWidth="1"/>
    <col min="20" max="27" width="17.85546875" bestFit="1" customWidth="1"/>
    <col min="28" max="30" width="18" bestFit="1" customWidth="1"/>
    <col min="31" max="54" width="18.85546875" bestFit="1" customWidth="1"/>
    <col min="55" max="73" width="17.85546875" bestFit="1" customWidth="1"/>
    <col min="74" max="86" width="19.28515625" bestFit="1" customWidth="1"/>
  </cols>
  <sheetData>
    <row r="1" spans="1:86" x14ac:dyDescent="0.25">
      <c r="D1" s="89"/>
    </row>
    <row r="2" spans="1:86" x14ac:dyDescent="0.25">
      <c r="D2" s="88"/>
    </row>
    <row r="4" spans="1:86" ht="15.75" thickBot="1" x14ac:dyDescent="0.3">
      <c r="D4" s="105"/>
      <c r="E4" s="105"/>
      <c r="F4" s="105"/>
      <c r="G4" s="105"/>
      <c r="H4" s="105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</row>
    <row r="5" spans="1:86" ht="20.25" customHeight="1" thickBot="1" x14ac:dyDescent="0.3">
      <c r="A5" s="444" t="s">
        <v>122</v>
      </c>
      <c r="B5" s="445"/>
      <c r="C5" s="446"/>
      <c r="D5" s="343">
        <v>1999</v>
      </c>
      <c r="E5" s="344">
        <v>2000</v>
      </c>
      <c r="F5" s="344">
        <v>2001</v>
      </c>
      <c r="G5" s="344">
        <v>2002</v>
      </c>
      <c r="H5" s="344">
        <v>2003</v>
      </c>
      <c r="I5" s="344">
        <v>2004</v>
      </c>
      <c r="J5" s="344">
        <v>2005</v>
      </c>
      <c r="K5" s="344">
        <v>2006</v>
      </c>
      <c r="L5" s="344">
        <v>2007</v>
      </c>
      <c r="M5" s="344">
        <v>2008</v>
      </c>
      <c r="N5" s="344">
        <v>2009</v>
      </c>
      <c r="O5" s="344">
        <v>2010</v>
      </c>
      <c r="P5" s="344">
        <v>2011</v>
      </c>
      <c r="Q5" s="344">
        <v>2012</v>
      </c>
      <c r="R5" s="344">
        <v>2013</v>
      </c>
      <c r="S5" s="344">
        <v>2014</v>
      </c>
      <c r="T5" s="344">
        <v>2015</v>
      </c>
      <c r="U5" s="344">
        <v>2016</v>
      </c>
      <c r="V5" s="344">
        <v>2017</v>
      </c>
      <c r="W5" s="344">
        <v>2018</v>
      </c>
      <c r="X5" s="344">
        <v>2019</v>
      </c>
      <c r="Y5" s="344">
        <v>2020</v>
      </c>
      <c r="Z5" s="344">
        <v>2021</v>
      </c>
      <c r="AA5" s="344">
        <v>2022</v>
      </c>
      <c r="AB5" s="344">
        <v>2023</v>
      </c>
      <c r="AC5" s="344">
        <v>2024</v>
      </c>
      <c r="AD5" s="344">
        <v>2025</v>
      </c>
      <c r="AE5" s="344">
        <v>2026</v>
      </c>
      <c r="AF5" s="344">
        <v>2027</v>
      </c>
      <c r="AG5" s="344">
        <v>2028</v>
      </c>
      <c r="AH5" s="344">
        <v>2029</v>
      </c>
      <c r="AI5" s="344">
        <v>2030</v>
      </c>
      <c r="AJ5" s="344">
        <v>2031</v>
      </c>
      <c r="AK5" s="344">
        <v>2032</v>
      </c>
      <c r="AL5" s="344">
        <v>2033</v>
      </c>
      <c r="AM5" s="344">
        <v>2034</v>
      </c>
      <c r="AN5" s="344">
        <v>2035</v>
      </c>
      <c r="AO5" s="344">
        <v>2036</v>
      </c>
      <c r="AP5" s="344">
        <v>2037</v>
      </c>
      <c r="AQ5" s="344">
        <v>2038</v>
      </c>
      <c r="AR5" s="344">
        <v>2039</v>
      </c>
      <c r="AS5" s="344">
        <v>2040</v>
      </c>
      <c r="AT5" s="344">
        <v>2041</v>
      </c>
      <c r="AU5" s="344">
        <v>2042</v>
      </c>
      <c r="AV5" s="344">
        <v>2043</v>
      </c>
      <c r="AW5" s="344">
        <v>2044</v>
      </c>
      <c r="AX5" s="344">
        <v>2045</v>
      </c>
      <c r="AY5" s="344">
        <v>2046</v>
      </c>
      <c r="AZ5" s="344">
        <v>2047</v>
      </c>
      <c r="BA5" s="344">
        <v>2048</v>
      </c>
      <c r="BB5" s="345">
        <v>2049</v>
      </c>
    </row>
    <row r="6" spans="1:86" ht="21.75" thickBot="1" x14ac:dyDescent="0.4">
      <c r="A6" s="440" t="s">
        <v>24</v>
      </c>
      <c r="B6" s="441"/>
      <c r="C6" s="441"/>
      <c r="D6" s="116">
        <v>0</v>
      </c>
      <c r="E6" s="117">
        <v>1</v>
      </c>
      <c r="F6" s="117">
        <v>2</v>
      </c>
      <c r="G6" s="117">
        <v>3</v>
      </c>
      <c r="H6" s="117">
        <v>4</v>
      </c>
      <c r="I6" s="118">
        <v>5</v>
      </c>
      <c r="J6" s="117">
        <v>6</v>
      </c>
      <c r="K6" s="117">
        <v>7</v>
      </c>
      <c r="L6" s="118">
        <v>8</v>
      </c>
      <c r="M6" s="117">
        <v>9</v>
      </c>
      <c r="N6" s="117">
        <v>10</v>
      </c>
      <c r="O6" s="118">
        <v>11</v>
      </c>
      <c r="P6" s="117">
        <v>12</v>
      </c>
      <c r="Q6" s="117">
        <v>13</v>
      </c>
      <c r="R6" s="118">
        <v>14</v>
      </c>
      <c r="S6" s="117">
        <v>15</v>
      </c>
      <c r="T6" s="117">
        <v>16</v>
      </c>
      <c r="U6" s="118">
        <v>17</v>
      </c>
      <c r="V6" s="117">
        <v>18</v>
      </c>
      <c r="W6" s="117">
        <v>19</v>
      </c>
      <c r="X6" s="118">
        <v>20</v>
      </c>
      <c r="Y6" s="117">
        <v>21</v>
      </c>
      <c r="Z6" s="117">
        <v>22</v>
      </c>
      <c r="AA6" s="118">
        <v>23</v>
      </c>
      <c r="AB6" s="117">
        <v>24</v>
      </c>
      <c r="AC6" s="117">
        <v>25</v>
      </c>
      <c r="AD6" s="118">
        <v>26</v>
      </c>
      <c r="AE6" s="117">
        <v>27</v>
      </c>
      <c r="AF6" s="117">
        <v>28</v>
      </c>
      <c r="AG6" s="118">
        <v>29</v>
      </c>
      <c r="AH6" s="118">
        <v>30</v>
      </c>
      <c r="AI6" s="118">
        <v>31</v>
      </c>
      <c r="AJ6" s="118">
        <v>32</v>
      </c>
      <c r="AK6" s="118">
        <v>33</v>
      </c>
      <c r="AL6" s="118">
        <v>34</v>
      </c>
      <c r="AM6" s="118">
        <v>35</v>
      </c>
      <c r="AN6" s="118">
        <v>36</v>
      </c>
      <c r="AO6" s="118">
        <v>37</v>
      </c>
      <c r="AP6" s="118">
        <v>38</v>
      </c>
      <c r="AQ6" s="118">
        <v>39</v>
      </c>
      <c r="AR6" s="118">
        <v>40</v>
      </c>
      <c r="AS6" s="118">
        <v>41</v>
      </c>
      <c r="AT6" s="118">
        <v>42</v>
      </c>
      <c r="AU6" s="118">
        <v>43</v>
      </c>
      <c r="AV6" s="118">
        <v>44</v>
      </c>
      <c r="AW6" s="118">
        <v>45</v>
      </c>
      <c r="AX6" s="118">
        <v>46</v>
      </c>
      <c r="AY6" s="118">
        <v>47</v>
      </c>
      <c r="AZ6" s="118">
        <v>48</v>
      </c>
      <c r="BA6" s="118">
        <v>49</v>
      </c>
      <c r="BB6" s="346">
        <v>50</v>
      </c>
      <c r="BC6" s="324">
        <v>51</v>
      </c>
      <c r="BD6" s="324">
        <v>52</v>
      </c>
      <c r="BE6" s="324">
        <v>53</v>
      </c>
      <c r="BF6" s="324">
        <v>54</v>
      </c>
      <c r="BG6" s="324">
        <v>55</v>
      </c>
      <c r="BH6" s="324">
        <v>56</v>
      </c>
      <c r="BI6" s="324">
        <v>57</v>
      </c>
      <c r="BJ6" s="324">
        <v>58</v>
      </c>
      <c r="BK6" s="324">
        <v>59</v>
      </c>
      <c r="BL6" s="324">
        <v>60</v>
      </c>
      <c r="BM6" s="324">
        <v>61</v>
      </c>
      <c r="BN6" s="324">
        <v>62</v>
      </c>
      <c r="BO6" s="324">
        <v>63</v>
      </c>
      <c r="BP6" s="324">
        <v>64</v>
      </c>
      <c r="BQ6" s="324">
        <v>65</v>
      </c>
      <c r="BR6" s="324">
        <v>66</v>
      </c>
      <c r="BS6" s="324">
        <v>67</v>
      </c>
      <c r="BT6" s="324">
        <v>68</v>
      </c>
      <c r="BU6" s="324">
        <v>69</v>
      </c>
      <c r="BV6" s="324">
        <v>70</v>
      </c>
      <c r="BW6" s="324">
        <v>71</v>
      </c>
      <c r="BX6" s="324">
        <v>72</v>
      </c>
      <c r="BY6" s="324">
        <v>73</v>
      </c>
      <c r="BZ6" s="324">
        <v>74</v>
      </c>
      <c r="CA6" s="324">
        <v>75</v>
      </c>
      <c r="CB6" s="324">
        <v>76</v>
      </c>
      <c r="CC6" s="324">
        <v>77</v>
      </c>
      <c r="CD6" s="324">
        <v>78</v>
      </c>
      <c r="CE6" s="324">
        <v>79</v>
      </c>
      <c r="CF6" s="324">
        <v>80</v>
      </c>
      <c r="CG6" s="324">
        <v>81</v>
      </c>
      <c r="CH6" s="324">
        <v>82</v>
      </c>
    </row>
    <row r="7" spans="1:86" x14ac:dyDescent="0.25">
      <c r="A7" s="442" t="s">
        <v>123</v>
      </c>
      <c r="B7" s="5" t="s">
        <v>3</v>
      </c>
      <c r="C7" s="563" t="s">
        <v>126</v>
      </c>
      <c r="D7" s="228"/>
      <c r="E7" s="229">
        <f>IF($A$36=0,ACTUALMENTE!D10,IF($A$36=1,REEMPLAZO!D10,REFURBISHMENT!D10))</f>
        <v>12309204630.358027</v>
      </c>
      <c r="F7" s="229">
        <f>IF($A$36=0,ACTUALMENTE!E10,IF($A$36=1,REEMPLAZO!E10,REFURBISHMENT!E10))</f>
        <v>14500694221.619776</v>
      </c>
      <c r="G7" s="229">
        <f>IF($A$36=0,ACTUALMENTE!F10,IF($A$36=1,REEMPLAZO!F10,REFURBISHMENT!F10))</f>
        <v>17279957855.843201</v>
      </c>
      <c r="H7" s="229">
        <f>IF($A$36=0,ACTUALMENTE!G10,IF($A$36=1,REEMPLAZO!G10,REFURBISHMENT!G10))</f>
        <v>20959577741.571793</v>
      </c>
      <c r="I7" s="229">
        <f>IF($A$36=0,ACTUALMENTE!H10,IF($A$36=1,REEMPLAZO!H10,REFURBISHMENT!H10))</f>
        <v>20018031106.511509</v>
      </c>
      <c r="J7" s="229">
        <f>IF($A$36=0,ACTUALMENTE!I10,IF($A$36=1,REEMPLAZO!I10,REFURBISHMENT!I10))</f>
        <v>18057229943.783669</v>
      </c>
      <c r="K7" s="229">
        <f>IF($A$36=0,ACTUALMENTE!J10,IF($A$36=1,REEMPLAZO!J10,REFURBISHMENT!J10))</f>
        <v>19363142717.272755</v>
      </c>
      <c r="L7" s="229">
        <f>IF($A$36=0,ACTUALMENTE!K10,IF($A$36=1,REEMPLAZO!K10,REFURBISHMENT!K10))</f>
        <v>17285718859.936497</v>
      </c>
      <c r="M7" s="229">
        <f>IF($A$36=0,ACTUALMENTE!L10,IF($A$36=1,REEMPLAZO!L10,REFURBISHMENT!L10))</f>
        <v>17824909424.794071</v>
      </c>
      <c r="N7" s="229">
        <f>IF($A$36=0,ACTUALMENTE!M10,IF($A$36=1,REEMPLAZO!M10,REFURBISHMENT!M10))</f>
        <v>19117390836.975357</v>
      </c>
      <c r="O7" s="229">
        <f>IF($A$36=0,ACTUALMENTE!N10,IF($A$36=1,REEMPLAZO!N10,REFURBISHMENT!N10))</f>
        <v>17563079697.951862</v>
      </c>
      <c r="P7" s="229">
        <f>IF($A$36=0,ACTUALMENTE!O10,IF($A$36=1,REEMPLAZO!O10,REFURBISHMENT!O10))</f>
        <v>18534119115.201847</v>
      </c>
      <c r="Q7" s="229">
        <f>IF($A$36=0,ACTUALMENTE!P10,IF($A$36=1,REEMPLAZO!P10,REFURBISHMENT!P10))</f>
        <v>20006585386.361885</v>
      </c>
      <c r="R7" s="229">
        <f>IF($A$36=0,ACTUALMENTE!Q10,IF($A$36=1,REEMPLAZO!Q10,REFURBISHMENT!Q10))</f>
        <v>21157078118.439705</v>
      </c>
      <c r="S7" s="229">
        <f>IF($A$36=0,ACTUALMENTE!R10,IF($A$36=1,REEMPLAZO!R10,REFURBISHMENT!R10))</f>
        <v>22445207633.111595</v>
      </c>
      <c r="T7" s="229">
        <f>IF($A$36=0,ACTUALMENTE!S10,IF($A$36=1,REEMPLAZO!S10,REFURBISHMENT!S10))</f>
        <v>23811773465.859295</v>
      </c>
      <c r="U7" s="229">
        <f>IF($A$36=0,ACTUALMENTE!T10,IF($A$36=1,REEMPLAZO!T10,REFURBISHMENT!T10))</f>
        <v>25261552043.833843</v>
      </c>
      <c r="V7" s="229">
        <f>IF($A$36=0,ACTUALMENTE!U10,IF($A$36=1,REEMPLAZO!U10,REFURBISHMENT!U10))</f>
        <v>26799610667.57196</v>
      </c>
      <c r="W7" s="229">
        <f>IF($A$36=0,ACTUALMENTE!V10,IF($A$36=1,REEMPLAZO!V10,REFURBISHMENT!V10))</f>
        <v>28431325224.832317</v>
      </c>
      <c r="X7" s="229">
        <f>IF($A$36=0,ACTUALMENTE!W10,IF($A$36=1,REEMPLAZO!W10,REFURBISHMENT!W10))</f>
        <v>30162398983.193207</v>
      </c>
      <c r="Y7" s="229">
        <f>IF($A$36=0,ACTUALMENTE!X10,IF($A$36=1,REEMPLAZO!X10,REFURBISHMENT!X10))</f>
        <v>31998882527.10767</v>
      </c>
      <c r="Z7" s="229">
        <f>IF($A$36=0,ACTUALMENTE!Y10,IF($A$36=1,REEMPLAZO!Y10,REFURBISHMENT!Y10))</f>
        <v>33947194909.113338</v>
      </c>
      <c r="AA7" s="229">
        <f>IF($A$36=0,ACTUALMENTE!Z10,IF($A$36=1,REEMPLAZO!Z10,REFURBISHMENT!Z10))</f>
        <v>36014146089.138504</v>
      </c>
      <c r="AB7" s="229">
        <f>IF($A$36=0,ACTUALMENTE!AA10,IF($A$36=1,REEMPLAZO!AA10,REFURBISHMENT!AA10))</f>
        <v>38206960740.349136</v>
      </c>
      <c r="AC7" s="229">
        <f>IF($A$36=0,ACTUALMENTE!AB10,IF($A$36=1,REEMPLAZO!AB10,REFURBISHMENT!AB10))</f>
        <v>40533303504.758713</v>
      </c>
      <c r="AD7" s="229">
        <f>IF($A$36=0,ACTUALMENTE!AC10,IF($A$36=1,REEMPLAZO!AC10,REFURBISHMENT!AC10))</f>
        <v>43001305786.891151</v>
      </c>
      <c r="AE7" s="229">
        <f>IF($A$36=0,ACTUALMENTE!AD10,IF($A$36=1,REEMPLAZO!AD10,REFURBISHMENT!AD10))</f>
        <v>45619594179.16362</v>
      </c>
      <c r="AF7" s="229">
        <f>IF($A$36=0,ACTUALMENTE!AE10,IF($A$36=1,REEMPLAZO!AE10,REFURBISHMENT!AE10))</f>
        <v>48397320618.360703</v>
      </c>
      <c r="AG7" s="229">
        <f>IF($A$36=0,ACTUALMENTE!AF10,IF($A$36=1,REEMPLAZO!AF10,REFURBISHMENT!AF10))</f>
        <v>51344194378.622841</v>
      </c>
      <c r="AH7" s="229">
        <f>IF($A$36=0,ACTUALMENTE!AG10,IF($A$36=1,REEMPLAZO!AG10,REFURBISHMENT!AG10))</f>
        <v>54470516012.792282</v>
      </c>
      <c r="AI7" s="229">
        <f>IF($A$36=0,ACTUALMENTE!AH10,IF($A$36=1,REEMPLAZO!AH10,REFURBISHMENT!AH10))</f>
        <v>57787213360.770996</v>
      </c>
      <c r="AJ7" s="229">
        <f>IF($A$36=0,ACTUALMENTE!AI10,IF($A$36=1,REEMPLAZO!AI10,REFURBISHMENT!AI10))</f>
        <v>61305879750.771194</v>
      </c>
      <c r="AK7" s="229">
        <f>IF($A$36=0,ACTUALMENTE!AJ10,IF($A$36=1,REEMPLAZO!AJ10,REFURBISHMENT!AJ10))</f>
        <v>65038814527.004944</v>
      </c>
      <c r="AL7" s="229">
        <f>IF($A$36=0,ACTUALMENTE!AK10,IF($A$36=1,REEMPLAZO!AK10,REFURBISHMENT!AK10))</f>
        <v>68999066045.492523</v>
      </c>
      <c r="AM7" s="229">
        <f>IF($A$36=0,ACTUALMENTE!AL10,IF($A$36=1,REEMPLAZO!AL10,REFURBISHMENT!AL10))</f>
        <v>73200477288.297363</v>
      </c>
      <c r="AN7" s="229">
        <f>IF($A$36=0,ACTUALMENTE!AM10,IF($A$36=1,REEMPLAZO!AM10,REFURBISHMENT!AM10))</f>
        <v>77657734255.649307</v>
      </c>
      <c r="AO7" s="229">
        <f>IF($A$36=0,ACTUALMENTE!AN10,IF($A$36=1,REEMPLAZO!AN10,REFURBISHMENT!AN10))</f>
        <v>82386417305.128815</v>
      </c>
      <c r="AP7" s="229">
        <f>IF($A$36=0,ACTUALMENTE!AO10,IF($A$36=1,REEMPLAZO!AO10,REFURBISHMENT!AO10))</f>
        <v>87403055617.387543</v>
      </c>
      <c r="AQ7" s="229">
        <f>IF($A$36=0,ACTUALMENTE!AP10,IF($A$36=1,REEMPLAZO!AP10,REFURBISHMENT!AP10))</f>
        <v>92725184978.810898</v>
      </c>
      <c r="AR7" s="229">
        <f>IF($A$36=0,ACTUALMENTE!AQ10,IF($A$36=1,REEMPLAZO!AQ10,REFURBISHMENT!AQ10))</f>
        <v>98371409083.123306</v>
      </c>
      <c r="AS7" s="229">
        <f>IF($A$36=0,ACTUALMENTE!AR10,IF($A$36=1,REEMPLAZO!AR10,REFURBISHMENT!AR10))</f>
        <v>104361464566.23964</v>
      </c>
      <c r="AT7" s="229">
        <f>IF($A$36=0,ACTUALMENTE!AS10,IF($A$36=1,REEMPLAZO!AS10,REFURBISHMENT!AS10))</f>
        <v>110716290001.71628</v>
      </c>
      <c r="AU7" s="229">
        <f>IF($A$36=0,ACTUALMENTE!AT10,IF($A$36=1,REEMPLAZO!AT10,REFURBISHMENT!AT10))</f>
        <v>117458099098.00203</v>
      </c>
      <c r="AV7" s="229">
        <f>IF($A$36=0,ACTUALMENTE!AU10,IF($A$36=1,REEMPLAZO!AU10,REFURBISHMENT!AU10))</f>
        <v>124610458353.37737</v>
      </c>
      <c r="AW7" s="229"/>
      <c r="AX7" s="229"/>
      <c r="AY7" s="229"/>
      <c r="AZ7" s="229"/>
      <c r="BA7" s="229"/>
      <c r="BB7" s="229"/>
    </row>
    <row r="8" spans="1:86" x14ac:dyDescent="0.25">
      <c r="A8" s="443"/>
      <c r="B8" s="32" t="s">
        <v>4</v>
      </c>
      <c r="C8" s="622" t="s">
        <v>128</v>
      </c>
      <c r="D8" s="230"/>
      <c r="E8" s="74">
        <f>IF($A$36=0,ACTUALMENTE!D19,IF($A$36=1,REEMPLAZO!D19,REFURBISHMENT!D19))</f>
        <v>0</v>
      </c>
      <c r="F8" s="74">
        <f>IF($A$36=0,ACTUALMENTE!E19,IF($A$36=1,REEMPLAZO!E19,REFURBISHMENT!E19))</f>
        <v>0</v>
      </c>
      <c r="G8" s="74">
        <f>IF($A$36=0,ACTUALMENTE!F19,IF($A$36=1,REEMPLAZO!F19,REFURBISHMENT!F19))</f>
        <v>0</v>
      </c>
      <c r="H8" s="74">
        <f>IF($A$36=0,ACTUALMENTE!G19,IF($A$36=1,REEMPLAZO!G19,REFURBISHMENT!G19))</f>
        <v>0</v>
      </c>
      <c r="I8" s="74">
        <f>IF($A$36=0,ACTUALMENTE!H19,IF($A$36=1,REEMPLAZO!H19,REFURBISHMENT!H19))</f>
        <v>0</v>
      </c>
      <c r="J8" s="74">
        <f>IF($A$36=0,ACTUALMENTE!I19,IF($A$36=1,REEMPLAZO!I19,REFURBISHMENT!I19))</f>
        <v>0</v>
      </c>
      <c r="K8" s="74">
        <f>IF($A$36=0,ACTUALMENTE!J19,IF($A$36=1,REEMPLAZO!J19,REFURBISHMENT!J19))</f>
        <v>0</v>
      </c>
      <c r="L8" s="74">
        <f>IF($A$36=0,ACTUALMENTE!K19,IF($A$36=1,REEMPLAZO!K19,REFURBISHMENT!K19))</f>
        <v>0</v>
      </c>
      <c r="M8" s="74">
        <f>IF($A$36=0,ACTUALMENTE!L19,IF($A$36=1,REEMPLAZO!L19,REFURBISHMENT!L19))</f>
        <v>0</v>
      </c>
      <c r="N8" s="74">
        <f>IF($A$36=0,ACTUALMENTE!M19,IF($A$36=1,REEMPLAZO!M19,REFURBISHMENT!M19))</f>
        <v>0</v>
      </c>
      <c r="O8" s="74">
        <f>IF($A$36=0,ACTUALMENTE!N19,IF($A$36=1,REEMPLAZO!N19,REFURBISHMENT!N19))</f>
        <v>11225757</v>
      </c>
      <c r="P8" s="74">
        <f>IF($A$36=0,ACTUALMENTE!O19,IF($A$36=1,REEMPLAZO!O19,REFURBISHMENT!O19))</f>
        <v>0</v>
      </c>
      <c r="Q8" s="74">
        <f>IF($A$36=0,ACTUALMENTE!P19,IF($A$36=1,REEMPLAZO!P19,REFURBISHMENT!P19))</f>
        <v>10909164.835363213</v>
      </c>
      <c r="R8" s="74">
        <f>IF($A$36=0,ACTUALMENTE!Q19,IF($A$36=1,REEMPLAZO!Q19,REFURBISHMENT!Q19))</f>
        <v>172733876.51852968</v>
      </c>
      <c r="S8" s="74">
        <f>IF($A$36=0,ACTUALMENTE!R19,IF($A$36=1,REEMPLAZO!R19,REFURBISHMENT!R19))</f>
        <v>194559785.11953107</v>
      </c>
      <c r="T8" s="74">
        <f>IF($A$36=0,ACTUALMENTE!S19,IF($A$36=1,REEMPLAZO!S19,REFURBISHMENT!S19))</f>
        <v>218418977.35487723</v>
      </c>
      <c r="U8" s="74">
        <f>IF($A$36=0,ACTUALMENTE!T19,IF($A$36=1,REEMPLAZO!T19,REFURBISHMENT!T19))</f>
        <v>244535870.20528567</v>
      </c>
      <c r="V8" s="74">
        <f>IF($A$36=0,ACTUALMENTE!U19,IF($A$36=1,REEMPLAZO!U19,REFURBISHMENT!U19))</f>
        <v>273151736.6177488</v>
      </c>
      <c r="W8" s="74">
        <f>IF($A$36=0,ACTUALMENTE!V19,IF($A$36=1,REEMPLAZO!V19,REFURBISHMENT!V19))</f>
        <v>304527495.70883125</v>
      </c>
      <c r="X8" s="74">
        <f>IF($A$36=0,ACTUALMENTE!W19,IF($A$36=1,REEMPLAZO!W19,REFURBISHMENT!W19))</f>
        <v>338946431.84508777</v>
      </c>
      <c r="Y8" s="74">
        <f>IF($A$36=0,ACTUALMENTE!X19,IF($A$36=1,REEMPLAZO!X19,REFURBISHMENT!X19))</f>
        <v>376716944.9175964</v>
      </c>
      <c r="Z8" s="74">
        <f>IF($A$36=0,ACTUALMENTE!Y19,IF($A$36=1,REEMPLAZO!Y19,REFURBISHMENT!Y19))</f>
        <v>418175404.78861874</v>
      </c>
      <c r="AA8" s="74">
        <f>IF($A$36=0,ACTUALMENTE!Z19,IF($A$36=1,REEMPLAZO!Z19,REFURBISHMENT!Z19))</f>
        <v>463689165.91281664</v>
      </c>
      <c r="AB8" s="74">
        <f>IF($A$36=0,ACTUALMENTE!AA19,IF($A$36=1,REEMPLAZO!AA19,REFURBISHMENT!AA19))</f>
        <v>513659788.40751702</v>
      </c>
      <c r="AC8" s="74">
        <f>IF($A$36=0,ACTUALMENTE!AB19,IF($A$36=1,REEMPLAZO!AB19,REFURBISHMENT!AB19))</f>
        <v>568526506.52797318</v>
      </c>
      <c r="AD8" s="74">
        <f>IF($A$36=0,ACTUALMENTE!AC19,IF($A$36=1,REEMPLAZO!AC19,REFURBISHMENT!AC19))</f>
        <v>625934213.53975427</v>
      </c>
      <c r="AE8" s="74">
        <f>IF($A$36=0,ACTUALMENTE!AD19,IF($A$36=1,REEMPLAZO!AD19,REFURBISHMENT!AD19))</f>
        <v>691817698.34541214</v>
      </c>
      <c r="AF8" s="74">
        <f>IF($A$36=0,ACTUALMENTE!AE19,IF($A$36=1,REEMPLAZO!AE19,REFURBISHMENT!AE19))</f>
        <v>764155848.2206825</v>
      </c>
      <c r="AG8" s="74">
        <f>IF($A$36=0,ACTUALMENTE!AF19,IF($A$36=1,REEMPLAZO!AF19,REFURBISHMENT!AF19))</f>
        <v>843577306.08151579</v>
      </c>
      <c r="AH8" s="74">
        <f>IF($A$36=0,ACTUALMENTE!AG19,IF($A$36=1,REEMPLAZO!AG19,REFURBISHMENT!AG19))</f>
        <v>930770579.10893273</v>
      </c>
      <c r="AI8" s="74">
        <f>IF($A$36=0,ACTUALMENTE!AH19,IF($A$36=1,REEMPLAZO!AH19,REFURBISHMENT!AH19))</f>
        <v>1026489794.497333</v>
      </c>
      <c r="AJ8" s="74">
        <f>IF($A$36=0,ACTUALMENTE!AI19,IF($A$36=1,REEMPLAZO!AI19,REFURBISHMENT!AI19))</f>
        <v>1131560991.3720098</v>
      </c>
      <c r="AK8" s="74">
        <f>IF($A$36=0,ACTUALMENTE!AJ19,IF($A$36=1,REEMPLAZO!AJ19,REFURBISHMENT!AJ19))</f>
        <v>1246889001.4077914</v>
      </c>
      <c r="AL8" s="74">
        <f>IF($A$36=0,ACTUALMENTE!AK19,IF($A$36=1,REEMPLAZO!AK19,REFURBISHMENT!AK19))</f>
        <v>1373464975.2118101</v>
      </c>
      <c r="AM8" s="74">
        <f>IF($A$36=0,ACTUALMENTE!AL19,IF($A$36=1,REEMPLAZO!AL19,REFURBISHMENT!AL19))</f>
        <v>1512374616.5958512</v>
      </c>
      <c r="AN8" s="74">
        <f>IF($A$36=0,ACTUALMENTE!AM19,IF($A$36=1,REEMPLAZO!AM19,REFURBISHMENT!AM19))</f>
        <v>1664807192.4812343</v>
      </c>
      <c r="AO8" s="74">
        <f>IF($A$36=0,ACTUALMENTE!AN19,IF($A$36=1,REEMPLAZO!AN19,REFURBISHMENT!AN19))</f>
        <v>1832065392.3721588</v>
      </c>
      <c r="AP8" s="74">
        <f>IF($A$36=0,ACTUALMENTE!AO19,IF($A$36=1,REEMPLAZO!AO19,REFURBISHMENT!AO19))</f>
        <v>2015576118.1605427</v>
      </c>
      <c r="AQ8" s="74">
        <f>IF($A$36=0,ACTUALMENTE!AP19,IF($A$36=1,REEMPLAZO!AP19,REFURBISHMENT!AP19))</f>
        <v>2216902292.5182538</v>
      </c>
      <c r="AR8" s="74">
        <f>IF($A$36=0,ACTUALMENTE!AQ19,IF($A$36=1,REEMPLAZO!AQ19,REFURBISHMENT!AQ19))</f>
        <v>2437755782.3553171</v>
      </c>
      <c r="AS8" s="74">
        <f>IF($A$36=0,ACTUALMENTE!AR19,IF($A$36=1,REEMPLAZO!AR19,REFURBISHMENT!AR19))</f>
        <v>2680011542.8389168</v>
      </c>
      <c r="AT8" s="74">
        <f>IF($A$36=0,ACTUALMENTE!AS19,IF($A$36=1,REEMPLAZO!AS19,REFURBISHMENT!AS19))</f>
        <v>2945723097.3426156</v>
      </c>
      <c r="AU8" s="74">
        <f>IF($A$36=0,ACTUALMENTE!AT19,IF($A$36=1,REEMPLAZO!AT19,REFURBISHMENT!AT19))</f>
        <v>3237139479.5079894</v>
      </c>
      <c r="AV8" s="74">
        <f>IF($A$36=0,ACTUALMENTE!AU19,IF($A$36=1,REEMPLAZO!AU19,REFURBISHMENT!AU19))</f>
        <v>3556723775.4444366</v>
      </c>
      <c r="AW8" s="74"/>
      <c r="AX8" s="74"/>
      <c r="AY8" s="74"/>
      <c r="AZ8" s="74"/>
      <c r="BA8" s="74"/>
      <c r="BB8" s="74"/>
    </row>
    <row r="9" spans="1:86" x14ac:dyDescent="0.25">
      <c r="A9" s="443" t="s">
        <v>5</v>
      </c>
      <c r="B9" s="8" t="s">
        <v>4</v>
      </c>
      <c r="C9" s="623" t="s">
        <v>219</v>
      </c>
      <c r="D9" s="83"/>
      <c r="E9" s="75">
        <f>IF($A$36=0,ACTUALMENTE!D36+ACTUALMENTE!D34,IF($A$36=1,REEMPLAZO!D36+REEMPLAZO!D34,REFURBISHMENT!D36+REFURBISHMENT!D34))</f>
        <v>2168411565.5069194</v>
      </c>
      <c r="F9" s="75">
        <f>IF($A$36=0,ACTUALMENTE!E36+ACTUALMENTE!E34,IF($A$36=1,REEMPLAZO!E36+REEMPLAZO!E34,REFURBISHMENT!E36+REFURBISHMENT!E34))</f>
        <v>2554593893.8092661</v>
      </c>
      <c r="G9" s="75">
        <f>IF($A$36=0,ACTUALMENTE!F36+ACTUALMENTE!F34,IF($A$36=1,REEMPLAZO!F36+REEMPLAZO!F34,REFURBISHMENT!F36+REFURBISHMENT!F34))</f>
        <v>3044391863.9896984</v>
      </c>
      <c r="H9" s="75">
        <f>IF($A$36=0,ACTUALMENTE!G36+ACTUALMENTE!G34,IF($A$36=1,REEMPLAZO!G36+REEMPLAZO!G34,REFURBISHMENT!G36+REFURBISHMENT!G34))</f>
        <v>3692901465.4875774</v>
      </c>
      <c r="I9" s="75">
        <f>IF($A$36=0,ACTUALMENTE!H36+ACTUALMENTE!H34,IF($A$36=1,REEMPLAZO!H36+REEMPLAZO!H34,REFURBISHMENT!H36+REFURBISHMENT!H34))</f>
        <v>3526818030.7190251</v>
      </c>
      <c r="J9" s="75">
        <f>IF($A$36=0,ACTUALMENTE!I36+ACTUALMENTE!I34,IF($A$36=1,REEMPLAZO!I36+REEMPLAZO!I34,REFURBISHMENT!I36+REFURBISHMENT!I34))</f>
        <v>3181077068.2840691</v>
      </c>
      <c r="K9" s="75">
        <f>IF($A$36=0,ACTUALMENTE!J36+ACTUALMENTE!J34,IF($A$36=1,REEMPLAZO!J36+REEMPLAZO!J34,REFURBISHMENT!J36+REFURBISHMENT!J34))</f>
        <v>3411181439.2930436</v>
      </c>
      <c r="L9" s="75">
        <f>IF($A$36=0,ACTUALMENTE!K36+ACTUALMENTE!K34,IF($A$36=1,REEMPLAZO!K36+REEMPLAZO!K34,REFURBISHMENT!K36+REFURBISHMENT!K34))</f>
        <v>3044892899.1991739</v>
      </c>
      <c r="M9" s="75">
        <f>IF($A$36=0,ACTUALMENTE!L36+ACTUALMENTE!L34,IF($A$36=1,REEMPLAZO!L36+REEMPLAZO!L34,REFURBISHMENT!L36+REFURBISHMENT!L34))</f>
        <v>3139816653.2045536</v>
      </c>
      <c r="N9" s="75">
        <f>IF($A$36=0,ACTUALMENTE!M36+ACTUALMENTE!M34,IF($A$36=1,REEMPLAZO!M36+REEMPLAZO!M34,REFURBISHMENT!M36+REFURBISHMENT!M34))</f>
        <v>3368086407.2602315</v>
      </c>
      <c r="O9" s="75">
        <f>IF($A$36=0,ACTUALMENTE!N36+ACTUALMENTE!N34,IF($A$36=1,REEMPLAZO!N36+REEMPLAZO!N34,REFURBISHMENT!N36+REFURBISHMENT!N34))</f>
        <v>3094064556.6210656</v>
      </c>
      <c r="P9" s="75">
        <f>IF($A$36=0,ACTUALMENTE!O36+ACTUALMENTE!O34,IF($A$36=1,REEMPLAZO!O36+REEMPLAZO!O34,REFURBISHMENT!O36+REFURBISHMENT!O34))</f>
        <v>3205371238.8242149</v>
      </c>
      <c r="Q9" s="75">
        <f>IF($A$36=0,ACTUALMENTE!P36+ACTUALMENTE!P34,IF($A$36=1,REEMPLAZO!P36+REEMPLAZO!P34,REFURBISHMENT!P36+REFURBISHMENT!P34))</f>
        <v>3720493383.4227996</v>
      </c>
      <c r="R9" s="75">
        <f>IF($A$36=0,ACTUALMENTE!Q36+ACTUALMENTE!Q34,IF($A$36=1,REEMPLAZO!Q36+REEMPLAZO!Q34,REFURBISHMENT!Q36+REFURBISHMENT!Q34))</f>
        <v>3884219974.5739913</v>
      </c>
      <c r="S9" s="75">
        <f>IF($A$36=0,ACTUALMENTE!R36+ACTUALMENTE!R34,IF($A$36=1,REEMPLAZO!R36+REEMPLAZO!R34,REFURBISHMENT!R36+REFURBISHMENT!R34))</f>
        <v>4120768971.0255466</v>
      </c>
      <c r="T9" s="75">
        <f>IF($A$36=0,ACTUALMENTE!S36+ACTUALMENTE!S34,IF($A$36=1,REEMPLAZO!S36+REEMPLAZO!S34,REFURBISHMENT!S36+REFURBISHMENT!S34))</f>
        <v>4371723801.361002</v>
      </c>
      <c r="U9" s="75">
        <f>IF($A$36=0,ACTUALMENTE!T36+ACTUALMENTE!T34,IF($A$36=1,REEMPLAZO!T36+REEMPLAZO!T34,REFURBISHMENT!T36+REFURBISHMENT!T34))</f>
        <v>4637961780.8638868</v>
      </c>
      <c r="V9" s="75">
        <f>IF($A$36=0,ACTUALMENTE!U36+ACTUALMENTE!U34,IF($A$36=1,REEMPLAZO!U36+REEMPLAZO!U34,REFURBISHMENT!U36+REFURBISHMENT!U34))</f>
        <v>4920413653.3184977</v>
      </c>
      <c r="W9" s="75">
        <f>IF($A$36=0,ACTUALMENTE!V36+ACTUALMENTE!V34,IF($A$36=1,REEMPLAZO!V36+REEMPLAZO!V34,REFURBISHMENT!V36+REFURBISHMENT!V34))</f>
        <v>5220066844.8055925</v>
      </c>
      <c r="X9" s="75">
        <f>IF($A$36=0,ACTUALMENTE!W36+ACTUALMENTE!W34,IF($A$36=1,REEMPLAZO!W36+REEMPLAZO!W34,REFURBISHMENT!W36+REFURBISHMENT!W34))</f>
        <v>5537968915.654254</v>
      </c>
      <c r="Y9" s="75">
        <f>IF($A$36=0,ACTUALMENTE!X36+ACTUALMENTE!X34,IF($A$36=1,REEMPLAZO!X36+REEMPLAZO!X34,REFURBISHMENT!X36+REFURBISHMENT!X34))</f>
        <v>5875231222.6175976</v>
      </c>
      <c r="Z9" s="75">
        <f>IF($A$36=0,ACTUALMENTE!Y36+ACTUALMENTE!Y34,IF($A$36=1,REEMPLAZO!Y36+REEMPLAZO!Y34,REFURBISHMENT!Y36+REFURBISHMENT!Y34))</f>
        <v>6233032804.0750084</v>
      </c>
      <c r="AA9" s="75">
        <f>IF($A$36=0,ACTUALMENTE!Z36+ACTUALMENTE!Z34,IF($A$36=1,REEMPLAZO!Z36+REEMPLAZO!Z34,REFURBISHMENT!Z36+REFURBISHMENT!Z34))</f>
        <v>6612624501.8431759</v>
      </c>
      <c r="AB9" s="75">
        <f>IF($A$36=0,ACTUALMENTE!AA36+ACTUALMENTE!AA34,IF($A$36=1,REEMPLAZO!AA36+REEMPLAZO!AA34,REFURBISHMENT!AA36+REFURBISHMENT!AA34))</f>
        <v>7015333334.0054264</v>
      </c>
      <c r="AC9" s="75">
        <f>IF($A$36=0,ACTUALMENTE!AB36+ACTUALMENTE!AB34,IF($A$36=1,REEMPLAZO!AB36+REEMPLAZO!AB34,REFURBISHMENT!AB36+REFURBISHMENT!AB34))</f>
        <v>7442567134.0463572</v>
      </c>
      <c r="AD9" s="75">
        <f>IF($A$36=0,ACTUALMENTE!AC36+ACTUALMENTE!AC34,IF($A$36=1,REEMPLAZO!AC36+REEMPLAZO!AC34,REFURBISHMENT!AC36+REFURBISHMENT!AC34))</f>
        <v>7895819472.509779</v>
      </c>
      <c r="AE9" s="75">
        <f>IF($A$36=0,ACTUALMENTE!AD36+ACTUALMENTE!AD34,IF($A$36=1,REEMPLAZO!AD36+REEMPLAZO!AD34,REFURBISHMENT!AD36+REFURBISHMENT!AD34))</f>
        <v>8376674878.3856239</v>
      </c>
      <c r="AF9" s="75">
        <f>IF($A$36=0,ACTUALMENTE!AE36+ACTUALMENTE!AE34,IF($A$36=1,REEMPLAZO!AE36+REEMPLAZO!AE34,REFURBISHMENT!AE36+REFURBISHMENT!AE34))</f>
        <v>8886814378.4793091</v>
      </c>
      <c r="AG9" s="75">
        <f>IF($A$36=0,ACTUALMENTE!AF36+ACTUALMENTE!AF34,IF($A$36=1,REEMPLAZO!AF36+REEMPLAZO!AF34,REFURBISHMENT!AF36+REFURBISHMENT!AF34))</f>
        <v>9428021374.1287003</v>
      </c>
      <c r="AH9" s="75">
        <f>IF($A$36=0,ACTUALMENTE!AG36+ACTUALMENTE!AG34,IF($A$36=1,REEMPLAZO!AG36+REEMPLAZO!AG34,REFURBISHMENT!AG36+REFURBISHMENT!AG34))</f>
        <v>10002187875.813139</v>
      </c>
      <c r="AI9" s="75">
        <f>IF($A$36=0,ACTUALMENTE!AH36+ACTUALMENTE!AH34,IF($A$36=1,REEMPLAZO!AH36+REEMPLAZO!AH34,REFURBISHMENT!AH36+REFURBISHMENT!AH34))</f>
        <v>10611321117.450155</v>
      </c>
      <c r="AJ9" s="75">
        <f>IF($A$36=0,ACTUALMENTE!AI36+ACTUALMENTE!AI34,IF($A$36=1,REEMPLAZO!AI36+REEMPLAZO!AI34,REFURBISHMENT!AI36+REFURBISHMENT!AI34))</f>
        <v>11257550573.502871</v>
      </c>
      <c r="AK9" s="75">
        <f>IF($A$36=0,ACTUALMENTE!AJ36+ACTUALMENTE!AJ34,IF($A$36=1,REEMPLAZO!AJ36+REEMPLAZO!AJ34,REFURBISHMENT!AJ36+REFURBISHMENT!AJ34))</f>
        <v>11943135403.429195</v>
      </c>
      <c r="AL9" s="75">
        <f>IF($A$36=0,ACTUALMENTE!AK36+ACTUALMENTE!AK34,IF($A$36=1,REEMPLAZO!AK36+REEMPLAZO!AK34,REFURBISHMENT!AK36+REFURBISHMENT!AK34))</f>
        <v>12670472349.498035</v>
      </c>
      <c r="AM9" s="75">
        <f>IF($A$36=0,ACTUALMENTE!AL36+ACTUALMENTE!AL34,IF($A$36=1,REEMPLAZO!AL36+REEMPLAZO!AL34,REFURBISHMENT!AL36+REFURBISHMENT!AL34))</f>
        <v>13442104115.582462</v>
      </c>
      <c r="AN9" s="75">
        <f>IF($A$36=0,ACTUALMENTE!AM36+ACTUALMENTE!AM34,IF($A$36=1,REEMPLAZO!AM36+REEMPLAZO!AM34,REFURBISHMENT!AM36+REFURBISHMENT!AM34))</f>
        <v>14260728256.221436</v>
      </c>
      <c r="AO9" s="75">
        <f>IF($A$36=0,ACTUALMENTE!AN36+ACTUALMENTE!AN34,IF($A$36=1,REEMPLAZO!AN36+REEMPLAZO!AN34,REFURBISHMENT!AN36+REFURBISHMENT!AN34))</f>
        <v>15129206607.02532</v>
      </c>
      <c r="AP9" s="75">
        <f>IF($A$36=0,ACTUALMENTE!AO36+ACTUALMENTE!AO34,IF($A$36=1,REEMPLAZO!AO36+REEMPLAZO!AO34,REFURBISHMENT!AO36+REFURBISHMENT!AO34))</f>
        <v>16050575289.39316</v>
      </c>
      <c r="AQ9" s="75">
        <f>IF($A$36=0,ACTUALMENTE!AP36+ACTUALMENTE!AP34,IF($A$36=1,REEMPLAZO!AP36+REEMPLAZO!AP34,REFURBISHMENT!AP36+REFURBISHMENT!AP34))</f>
        <v>17028055324.517204</v>
      </c>
      <c r="AR9" s="75">
        <f>IF($A$36=0,ACTUALMENTE!AQ36+ACTUALMENTE!AQ34,IF($A$36=1,REEMPLAZO!AQ36+REEMPLAZO!AQ34,REFURBISHMENT!AQ36+REFURBISHMENT!AQ34))</f>
        <v>18065063893.780304</v>
      </c>
      <c r="AS9" s="75">
        <f>IF($A$36=0,ACTUALMENTE!AR36+ACTUALMENTE!AR34,IF($A$36=1,REEMPLAZO!AR36+REEMPLAZO!AR34,REFURBISHMENT!AR36+REFURBISHMENT!AR34))</f>
        <v>19165226284.911522</v>
      </c>
      <c r="AT9" s="75">
        <f>IF($A$36=0,ACTUALMENTE!AS36+ACTUALMENTE!AS34,IF($A$36=1,REEMPLAZO!AS36+REEMPLAZO!AS34,REFURBISHMENT!AS36+REFURBISHMENT!AS34))</f>
        <v>20332388565.662632</v>
      </c>
      <c r="AU9" s="75">
        <f>IF($A$36=0,ACTUALMENTE!AT36+ACTUALMENTE!AT34,IF($A$36=1,REEMPLAZO!AT36+REEMPLAZO!AT34,REFURBISHMENT!AT36+REFURBISHMENT!AT34))</f>
        <v>21570631029.311485</v>
      </c>
      <c r="AV9" s="75">
        <f>IF($A$36=0,ACTUALMENTE!AU36+ACTUALMENTE!AU34,IF($A$36=1,REEMPLAZO!AU36+REEMPLAZO!AU34,REFURBISHMENT!AU36+REFURBISHMENT!AU34))</f>
        <v>22884282458.996555</v>
      </c>
      <c r="AW9" s="75"/>
      <c r="AX9" s="75"/>
      <c r="AY9" s="75"/>
      <c r="AZ9" s="75"/>
      <c r="BA9" s="75"/>
      <c r="BB9" s="75"/>
    </row>
    <row r="10" spans="1:86" x14ac:dyDescent="0.25">
      <c r="A10" s="443"/>
      <c r="B10" s="100" t="s">
        <v>88</v>
      </c>
      <c r="C10" s="623" t="s">
        <v>87</v>
      </c>
      <c r="D10" s="83"/>
      <c r="E10" s="75">
        <f>IF($A$36=0,'Dep y Dif ACTUALMENTE'!D10,IF($A$36=1,'Dep y Dif REEMPLAZO'!C41,'Dep y Dif REFURBISHMENT'!C41))</f>
        <v>1430584778.5821891</v>
      </c>
      <c r="F10" s="75">
        <f>IF($A$36=0,'Dep y Dif ACTUALMENTE'!E10,IF($A$36=1,'Dep y Dif REEMPLAZO'!D41,'Dep y Dif REFURBISHMENT'!D41))</f>
        <v>1430584778.5821891</v>
      </c>
      <c r="G10" s="75">
        <f>IF($A$36=0,'Dep y Dif ACTUALMENTE'!F10,IF($A$36=1,'Dep y Dif REEMPLAZO'!E41,'Dep y Dif REFURBISHMENT'!E41))</f>
        <v>1430584778.5821891</v>
      </c>
      <c r="H10" s="75">
        <f>IF($A$36=0,'Dep y Dif ACTUALMENTE'!G10,IF($A$36=1,'Dep y Dif REEMPLAZO'!F41,'Dep y Dif REFURBISHMENT'!F41))</f>
        <v>1430584778.5821891</v>
      </c>
      <c r="I10" s="75">
        <f>IF($A$36=0,'Dep y Dif ACTUALMENTE'!H10,IF($A$36=1,'Dep y Dif REEMPLAZO'!G41,'Dep y Dif REFURBISHMENT'!G41))</f>
        <v>1430584778.5821891</v>
      </c>
      <c r="J10" s="75">
        <f>IF($A$36=0,'Dep y Dif ACTUALMENTE'!I10,IF($A$36=1,'Dep y Dif REEMPLAZO'!H41,'Dep y Dif REFURBISHMENT'!H41))</f>
        <v>1430584778.5821891</v>
      </c>
      <c r="K10" s="75">
        <f>IF($A$36=0,'Dep y Dif ACTUALMENTE'!J10,IF($A$36=1,'Dep y Dif REEMPLAZO'!I41,'Dep y Dif REFURBISHMENT'!I41))</f>
        <v>1430584778.5821891</v>
      </c>
      <c r="L10" s="75">
        <f>IF($A$36=0,'Dep y Dif ACTUALMENTE'!K10,IF($A$36=1,'Dep y Dif REEMPLAZO'!J41,'Dep y Dif REFURBISHMENT'!J41))</f>
        <v>1430584778.5821891</v>
      </c>
      <c r="M10" s="75">
        <f>IF($A$36=0,'Dep y Dif ACTUALMENTE'!L10,IF($A$36=1,'Dep y Dif REEMPLAZO'!K41,'Dep y Dif REFURBISHMENT'!K41))</f>
        <v>1430584778.5821891</v>
      </c>
      <c r="N10" s="75">
        <f>IF($A$36=0,'Dep y Dif ACTUALMENTE'!M10,IF($A$36=1,'Dep y Dif REEMPLAZO'!L41,'Dep y Dif REFURBISHMENT'!L41))</f>
        <v>1430584778.5821891</v>
      </c>
      <c r="O10" s="75">
        <f>IF($A$36=0,'Dep y Dif ACTUALMENTE'!N10,IF($A$36=1,'Dep y Dif REEMPLAZO'!M41,'Dep y Dif REFURBISHMENT'!M41))</f>
        <v>1430584778.5821891</v>
      </c>
      <c r="P10" s="75">
        <f>IF($A$36=0,'Dep y Dif ACTUALMENTE'!O10,IF($A$36=1,'Dep y Dif REEMPLAZO'!N41,'Dep y Dif REFURBISHMENT'!N41))</f>
        <v>1430584778.5821891</v>
      </c>
      <c r="Q10" s="75">
        <f>IF($A$36=0,'Dep y Dif ACTUALMENTE'!P10,IF($A$36=1,'Dep y Dif REEMPLAZO'!O41,'Dep y Dif REFURBISHMENT'!O41))</f>
        <v>1430584778.5821891</v>
      </c>
      <c r="R10" s="75">
        <f>IF($A$36=0,'Dep y Dif ACTUALMENTE'!Q10,IF($A$36=1,'Dep y Dif REEMPLAZO'!P41,'Dep y Dif REFURBISHMENT'!P41))</f>
        <v>0</v>
      </c>
      <c r="S10" s="75">
        <f>IF($A$36=0,'Dep y Dif ACTUALMENTE'!R10,IF($A$36=1,'Dep y Dif REEMPLAZO'!Q41,'Dep y Dif REFURBISHMENT'!Q41))</f>
        <v>0</v>
      </c>
      <c r="T10" s="75">
        <f>IF($A$36=0,'Dep y Dif ACTUALMENTE'!S10,IF($A$36=1,'Dep y Dif REEMPLAZO'!R41,'Dep y Dif REFURBISHMENT'!R41))</f>
        <v>0</v>
      </c>
      <c r="U10" s="75">
        <f>IF($A$36=0,'Dep y Dif ACTUALMENTE'!T10,IF($A$36=1,'Dep y Dif REEMPLAZO'!S41,'Dep y Dif REFURBISHMENT'!S41))</f>
        <v>0</v>
      </c>
      <c r="V10" s="75">
        <f>IF($A$36=0,'Dep y Dif ACTUALMENTE'!U10,IF($A$36=1,'Dep y Dif REEMPLAZO'!T41,'Dep y Dif REFURBISHMENT'!T41))</f>
        <v>0</v>
      </c>
      <c r="W10" s="75">
        <f>IF($A$36=0,'Dep y Dif ACTUALMENTE'!V10,IF($A$36=1,'Dep y Dif REEMPLAZO'!U41,'Dep y Dif REFURBISHMENT'!U41))</f>
        <v>0</v>
      </c>
      <c r="X10" s="75">
        <f>IF($A$36=0,'Dep y Dif ACTUALMENTE'!W10,IF($A$36=1,'Dep y Dif REEMPLAZO'!V41,'Dep y Dif REFURBISHMENT'!V41))</f>
        <v>0</v>
      </c>
      <c r="Y10" s="75">
        <f>IF($A$36=0,'Dep y Dif ACTUALMENTE'!X10,IF($A$36=1,'Dep y Dif REEMPLAZO'!W41,'Dep y Dif REFURBISHMENT'!W41))</f>
        <v>0</v>
      </c>
      <c r="Z10" s="75">
        <f>IF($A$36=0,'Dep y Dif ACTUALMENTE'!Y10,IF($A$36=1,'Dep y Dif REEMPLAZO'!X41,'Dep y Dif REFURBISHMENT'!X41))</f>
        <v>0</v>
      </c>
      <c r="AA10" s="75">
        <f>IF($A$36=0,'Dep y Dif ACTUALMENTE'!Z10,IF($A$36=1,'Dep y Dif REEMPLAZO'!Y41,'Dep y Dif REFURBISHMENT'!Y41))</f>
        <v>0</v>
      </c>
      <c r="AB10" s="75">
        <f>IF($A$36=0,'Dep y Dif ACTUALMENTE'!AA10,IF($A$36=1,'Dep y Dif REEMPLAZO'!Z41,'Dep y Dif REFURBISHMENT'!Z41))</f>
        <v>0</v>
      </c>
      <c r="AC10" s="75">
        <f>IF($A$36=0,'Dep y Dif ACTUALMENTE'!AB10,IF($A$36=1,'Dep y Dif REEMPLAZO'!AA41,'Dep y Dif REFURBISHMENT'!AA41))</f>
        <v>0</v>
      </c>
      <c r="AD10" s="75">
        <f>IF($A$36=0,'Dep y Dif ACTUALMENTE'!AC10,IF($A$36=1,'Dep y Dif REEMPLAZO'!AB41,'Dep y Dif REFURBISHMENT'!AB41))</f>
        <v>0</v>
      </c>
      <c r="AE10" s="75">
        <f>IF($A$36=0,'Dep y Dif ACTUALMENTE'!AD10,IF($A$36=1,'Dep y Dif REEMPLAZO'!AC41,'Dep y Dif REFURBISHMENT'!AC41))</f>
        <v>0</v>
      </c>
      <c r="AF10" s="75">
        <f>IF($A$36=0,'Dep y Dif ACTUALMENTE'!AE10,IF($A$36=1,'Dep y Dif REEMPLAZO'!AD41,'Dep y Dif REFURBISHMENT'!AD41))</f>
        <v>0</v>
      </c>
      <c r="AG10" s="75">
        <f>IF($A$36=0,'Dep y Dif ACTUALMENTE'!AF10,IF($A$36=1,'Dep y Dif REEMPLAZO'!AE41,'Dep y Dif REFURBISHMENT'!AE41))</f>
        <v>0</v>
      </c>
      <c r="AH10" s="75">
        <f>IF($A$36=0,'Dep y Dif ACTUALMENTE'!AG10,IF($A$36=1,'Dep y Dif REEMPLAZO'!AF41,'Dep y Dif REFURBISHMENT'!AF41))</f>
        <v>0</v>
      </c>
      <c r="AI10" s="75">
        <f>IF($A$36=0,'Dep y Dif ACTUALMENTE'!AH10,IF($A$36=1,'Dep y Dif REEMPLAZO'!AG41,'Dep y Dif REFURBISHMENT'!AG41))</f>
        <v>0</v>
      </c>
      <c r="AJ10" s="75">
        <f>IF($A$36=0,'Dep y Dif ACTUALMENTE'!AI10,IF($A$36=1,'Dep y Dif REEMPLAZO'!AH41,'Dep y Dif REFURBISHMENT'!AH41))</f>
        <v>0</v>
      </c>
      <c r="AK10" s="75">
        <f>IF($A$36=0,'Dep y Dif ACTUALMENTE'!AJ10,IF($A$36=1,'Dep y Dif REEMPLAZO'!AI41,'Dep y Dif REFURBISHMENT'!AI41))</f>
        <v>0</v>
      </c>
      <c r="AL10" s="75">
        <f>IF($A$36=0,'Dep y Dif ACTUALMENTE'!AK10,IF($A$36=1,'Dep y Dif REEMPLAZO'!AJ41,'Dep y Dif REFURBISHMENT'!AJ41))</f>
        <v>0</v>
      </c>
      <c r="AM10" s="75">
        <f>IF($A$36=0,'Dep y Dif ACTUALMENTE'!AL10,IF($A$36=1,'Dep y Dif REEMPLAZO'!AK41,'Dep y Dif REFURBISHMENT'!AK41))</f>
        <v>0</v>
      </c>
      <c r="AN10" s="75">
        <f>IF($A$36=0,'Dep y Dif ACTUALMENTE'!AM10,IF($A$36=1,'Dep y Dif REEMPLAZO'!AL41,'Dep y Dif REFURBISHMENT'!AL41))</f>
        <v>0</v>
      </c>
      <c r="AO10" s="75">
        <f>IF($A$36=0,'Dep y Dif ACTUALMENTE'!AN10,IF($A$36=1,'Dep y Dif REEMPLAZO'!AM41,'Dep y Dif REFURBISHMENT'!AM41))</f>
        <v>0</v>
      </c>
      <c r="AP10" s="75">
        <f>IF($A$36=0,'Dep y Dif ACTUALMENTE'!AO10,IF($A$36=1,'Dep y Dif REEMPLAZO'!AN41,'Dep y Dif REFURBISHMENT'!AN41))</f>
        <v>0</v>
      </c>
      <c r="AQ10" s="75">
        <f>IF($A$36=0,'Dep y Dif ACTUALMENTE'!AP10,IF($A$36=1,'Dep y Dif REEMPLAZO'!AO41,'Dep y Dif REFURBISHMENT'!AO41))</f>
        <v>0</v>
      </c>
      <c r="AR10" s="75">
        <f>IF($A$36=0,'Dep y Dif ACTUALMENTE'!AQ10,IF($A$36=1,'Dep y Dif REEMPLAZO'!AP41,'Dep y Dif REFURBISHMENT'!AP41))</f>
        <v>0</v>
      </c>
      <c r="AS10" s="75">
        <f>IF($A$36=0,'Dep y Dif ACTUALMENTE'!AR10,IF($A$36=1,'Dep y Dif REEMPLAZO'!AQ41,'Dep y Dif REFURBISHMENT'!AQ41))</f>
        <v>0</v>
      </c>
      <c r="AT10" s="75">
        <f>IF($A$36=0,'Dep y Dif ACTUALMENTE'!AS10,IF($A$36=1,'Dep y Dif REEMPLAZO'!AR41,'Dep y Dif REFURBISHMENT'!AR41))</f>
        <v>0</v>
      </c>
      <c r="AU10" s="75">
        <f>IF($A$36=0,'Dep y Dif ACTUALMENTE'!AT10,IF($A$36=1,'Dep y Dif REEMPLAZO'!AS41,'Dep y Dif REFURBISHMENT'!AS41))</f>
        <v>0</v>
      </c>
      <c r="AV10" s="75">
        <f>IF($A$36=0,'Dep y Dif ACTUALMENTE'!AU10,IF($A$36=1,'Dep y Dif REEMPLAZO'!AT41,'Dep y Dif REFURBISHMENT'!AT41))</f>
        <v>0</v>
      </c>
      <c r="AW10" s="75"/>
      <c r="AX10" s="75"/>
      <c r="AY10" s="75"/>
      <c r="AZ10" s="75"/>
      <c r="BA10" s="75"/>
      <c r="BB10" s="75"/>
    </row>
    <row r="11" spans="1:86" x14ac:dyDescent="0.25">
      <c r="A11" s="123"/>
      <c r="B11" s="32" t="s">
        <v>4</v>
      </c>
      <c r="C11" s="624" t="s">
        <v>626</v>
      </c>
      <c r="D11" s="231"/>
      <c r="E11" s="124">
        <f>IF($A$36=0,ACTUALMENTE!D37,IF($A$36=1,REEMPLAZO!D37,REFURBISHMENT!D37))</f>
        <v>0</v>
      </c>
      <c r="F11" s="124">
        <f>IF($A$36=0,ACTUALMENTE!E37,IF($A$36=1,REEMPLAZO!E37,REFURBISHMENT!E37))</f>
        <v>0</v>
      </c>
      <c r="G11" s="124">
        <f>IF($A$36=0,ACTUALMENTE!F37,IF($A$36=1,REEMPLAZO!F37,REFURBISHMENT!F37))</f>
        <v>0</v>
      </c>
      <c r="H11" s="124">
        <f>IF($A$36=0,ACTUALMENTE!G37,IF($A$36=1,REEMPLAZO!G37,REFURBISHMENT!G37))</f>
        <v>0</v>
      </c>
      <c r="I11" s="124">
        <f>IF($A$36=0,ACTUALMENTE!H37,IF($A$36=1,REEMPLAZO!H37,REFURBISHMENT!H37))</f>
        <v>0</v>
      </c>
      <c r="J11" s="124">
        <f>IF($A$36=0,ACTUALMENTE!I37,IF($A$36=1,REEMPLAZO!I37,REFURBISHMENT!I37))</f>
        <v>0</v>
      </c>
      <c r="K11" s="124">
        <f>IF($A$36=0,ACTUALMENTE!J37,IF($A$36=1,REEMPLAZO!J37,REFURBISHMENT!J37))</f>
        <v>0</v>
      </c>
      <c r="L11" s="124">
        <f>IF($A$36=0,ACTUALMENTE!K37,IF($A$36=1,REEMPLAZO!K37,REFURBISHMENT!K37))</f>
        <v>0</v>
      </c>
      <c r="M11" s="124">
        <f>IF($A$36=0,ACTUALMENTE!L37,IF($A$36=1,REEMPLAZO!L37,REFURBISHMENT!L37))</f>
        <v>0</v>
      </c>
      <c r="N11" s="124">
        <f>IF($A$36=0,ACTUALMENTE!M37,IF($A$36=1,REEMPLAZO!M37,REFURBISHMENT!M37))</f>
        <v>0</v>
      </c>
      <c r="O11" s="124">
        <f>IF($A$36=0,ACTUALMENTE!N37,IF($A$36=1,REEMPLAZO!N37,REFURBISHMENT!N37))</f>
        <v>0</v>
      </c>
      <c r="P11" s="124">
        <f>IF($A$36=0,ACTUALMENTE!O37,IF($A$36=1,REEMPLAZO!O37,REFURBISHMENT!O37))</f>
        <v>0</v>
      </c>
      <c r="Q11" s="124">
        <f>IF($A$36=0,ACTUALMENTE!P37,IF($A$36=1,REEMPLAZO!P37,REFURBISHMENT!P37))</f>
        <v>0</v>
      </c>
      <c r="R11" s="124">
        <f>IF($A$36=0,ACTUALMENTE!Q37,IF($A$36=1,REEMPLAZO!Q37,REFURBISHMENT!Q37))</f>
        <v>0</v>
      </c>
      <c r="S11" s="124">
        <f>IF($A$36=0,ACTUALMENTE!R37,IF($A$36=1,REEMPLAZO!R37,REFURBISHMENT!R37))</f>
        <v>0</v>
      </c>
      <c r="T11" s="124">
        <f>IF($A$36=0,ACTUALMENTE!S37,IF($A$36=1,REEMPLAZO!S37,REFURBISHMENT!S37))</f>
        <v>0</v>
      </c>
      <c r="U11" s="124">
        <f>IF($A$36=0,ACTUALMENTE!T37,IF($A$36=1,REEMPLAZO!T37,REFURBISHMENT!T37))</f>
        <v>0</v>
      </c>
      <c r="V11" s="124">
        <f>IF($A$36=0,ACTUALMENTE!U37,IF($A$36=1,REEMPLAZO!U37,REFURBISHMENT!U37))</f>
        <v>0</v>
      </c>
      <c r="W11" s="124">
        <f>IF($A$36=0,ACTUALMENTE!V37,IF($A$36=1,REEMPLAZO!V37,REFURBISHMENT!V37))</f>
        <v>0</v>
      </c>
      <c r="X11" s="124">
        <f>IF($A$36=0,ACTUALMENTE!W37,IF($A$36=1,REEMPLAZO!W37,REFURBISHMENT!W37))</f>
        <v>0</v>
      </c>
      <c r="Y11" s="124">
        <f>IF($A$36=0,ACTUALMENTE!X37,IF($A$36=1,REEMPLAZO!X37,REFURBISHMENT!X37))</f>
        <v>0</v>
      </c>
      <c r="Z11" s="124">
        <f>IF($A$36=0,ACTUALMENTE!Y37,IF($A$36=1,REEMPLAZO!Y37,REFURBISHMENT!Y37))</f>
        <v>0</v>
      </c>
      <c r="AA11" s="124">
        <f>IF($A$36=0,ACTUALMENTE!Z37,IF($A$36=1,REEMPLAZO!Z37,REFURBISHMENT!Z37))</f>
        <v>0</v>
      </c>
      <c r="AB11" s="124">
        <f>IF($A$36=0,ACTUALMENTE!AA37,IF($A$36=1,REEMPLAZO!AA37,REFURBISHMENT!AA37))</f>
        <v>0</v>
      </c>
      <c r="AC11" s="124">
        <f>IF($A$36=0,ACTUALMENTE!AB37,IF($A$36=1,REEMPLAZO!AB37,REFURBISHMENT!AB37))</f>
        <v>0</v>
      </c>
      <c r="AD11" s="124">
        <f>IF($A$36=0,ACTUALMENTE!AC37,IF($A$36=1,REEMPLAZO!AC37,REFURBISHMENT!AC37))</f>
        <v>0</v>
      </c>
      <c r="AE11" s="124">
        <f>IF($A$36=0,ACTUALMENTE!AD37,IF($A$36=1,REEMPLAZO!AD37,REFURBISHMENT!AD37))</f>
        <v>0</v>
      </c>
      <c r="AF11" s="124">
        <f>IF($A$36=0,ACTUALMENTE!AE37,IF($A$36=1,REEMPLAZO!AE37,REFURBISHMENT!AE37))</f>
        <v>0</v>
      </c>
      <c r="AG11" s="124">
        <f>IF($A$36=0,ACTUALMENTE!AF37,IF($A$36=1,REEMPLAZO!AF37,REFURBISHMENT!AF37))</f>
        <v>0</v>
      </c>
      <c r="AH11" s="124">
        <f>IF($A$36=0,ACTUALMENTE!AG37,IF($A$36=1,REEMPLAZO!AG37,REFURBISHMENT!AG37))</f>
        <v>0</v>
      </c>
      <c r="AI11" s="124">
        <f>IF($A$36=0,ACTUALMENTE!AH37,IF($A$36=1,REEMPLAZO!AH37,REFURBISHMENT!AH37))</f>
        <v>0</v>
      </c>
      <c r="AJ11" s="124">
        <f>IF($A$36=0,ACTUALMENTE!AI37,IF($A$36=1,REEMPLAZO!AI37,REFURBISHMENT!AI37))</f>
        <v>0</v>
      </c>
      <c r="AK11" s="124">
        <f>IF($A$36=0,ACTUALMENTE!AJ37,IF($A$36=1,REEMPLAZO!AJ37,REFURBISHMENT!AJ37))</f>
        <v>0</v>
      </c>
      <c r="AL11" s="124">
        <f>IF($A$36=0,ACTUALMENTE!AK37,IF($A$36=1,REEMPLAZO!AK37,REFURBISHMENT!AK37))</f>
        <v>0</v>
      </c>
      <c r="AM11" s="124">
        <f>IF($A$36=0,ACTUALMENTE!AL37,IF($A$36=1,REEMPLAZO!AL37,REFURBISHMENT!AL37))</f>
        <v>0</v>
      </c>
      <c r="AN11" s="124">
        <f>IF($A$36=0,ACTUALMENTE!AM37,IF($A$36=1,REEMPLAZO!AM37,REFURBISHMENT!AM37))</f>
        <v>0</v>
      </c>
      <c r="AO11" s="124">
        <f>IF($A$36=0,ACTUALMENTE!AN37,IF($A$36=1,REEMPLAZO!AN37,REFURBISHMENT!AN37))</f>
        <v>0</v>
      </c>
      <c r="AP11" s="124">
        <f>IF($A$36=0,ACTUALMENTE!AO37,IF($A$36=1,REEMPLAZO!AO37,REFURBISHMENT!AO37))</f>
        <v>0</v>
      </c>
      <c r="AQ11" s="124">
        <f>IF($A$36=0,ACTUALMENTE!AP37,IF($A$36=1,REEMPLAZO!AP37,REFURBISHMENT!AP37))</f>
        <v>0</v>
      </c>
      <c r="AR11" s="124">
        <f>IF($A$36=0,ACTUALMENTE!AQ37,IF($A$36=1,REEMPLAZO!AQ37,REFURBISHMENT!AQ37))</f>
        <v>0</v>
      </c>
      <c r="AS11" s="124">
        <f>IF($A$36=0,ACTUALMENTE!AR37,IF($A$36=1,REEMPLAZO!AR37,REFURBISHMENT!AR37))</f>
        <v>0</v>
      </c>
      <c r="AT11" s="124">
        <f>IF($A$36=0,ACTUALMENTE!AS37,IF($A$36=1,REEMPLAZO!AS37,REFURBISHMENT!AS37))</f>
        <v>0</v>
      </c>
      <c r="AU11" s="124">
        <f>IF($A$36=0,ACTUALMENTE!AT37,IF($A$36=1,REEMPLAZO!AT37,REFURBISHMENT!AT37))</f>
        <v>0</v>
      </c>
      <c r="AV11" s="124">
        <f>IF($A$36=0,ACTUALMENTE!AU37,IF($A$36=1,REEMPLAZO!AU37,REFURBISHMENT!AU37))</f>
        <v>0</v>
      </c>
      <c r="AW11" s="124"/>
      <c r="AX11" s="124"/>
      <c r="AY11" s="124"/>
      <c r="AZ11" s="124"/>
      <c r="BA11" s="124"/>
      <c r="BB11" s="124"/>
    </row>
    <row r="12" spans="1:86" ht="15.75" thickBot="1" x14ac:dyDescent="0.3">
      <c r="A12" s="9"/>
      <c r="B12" s="10" t="s">
        <v>7</v>
      </c>
      <c r="C12" s="625" t="s">
        <v>8</v>
      </c>
      <c r="D12" s="85">
        <f>+D7-D9-D10</f>
        <v>0</v>
      </c>
      <c r="E12" s="76">
        <f>+E7-E8-E9-E10-E11</f>
        <v>8710208286.2689171</v>
      </c>
      <c r="F12" s="76">
        <f t="shared" ref="F12:AH12" si="0">+F7-F8-F9-F10-F11</f>
        <v>10515515549.228319</v>
      </c>
      <c r="G12" s="76">
        <f t="shared" si="0"/>
        <v>12804981213.271313</v>
      </c>
      <c r="H12" s="76">
        <f t="shared" si="0"/>
        <v>15836091497.502024</v>
      </c>
      <c r="I12" s="76">
        <f t="shared" si="0"/>
        <v>15060628297.210295</v>
      </c>
      <c r="J12" s="76">
        <f t="shared" si="0"/>
        <v>13445568096.91741</v>
      </c>
      <c r="K12" s="76">
        <f t="shared" si="0"/>
        <v>14521376499.397522</v>
      </c>
      <c r="L12" s="76">
        <f t="shared" si="0"/>
        <v>12810241182.155134</v>
      </c>
      <c r="M12" s="76">
        <f t="shared" si="0"/>
        <v>13254507993.007328</v>
      </c>
      <c r="N12" s="76">
        <f t="shared" si="0"/>
        <v>14318719651.132936</v>
      </c>
      <c r="O12" s="76">
        <f t="shared" si="0"/>
        <v>13027204605.748608</v>
      </c>
      <c r="P12" s="76">
        <f t="shared" si="0"/>
        <v>13898163097.795443</v>
      </c>
      <c r="Q12" s="76">
        <f t="shared" si="0"/>
        <v>14844598059.521534</v>
      </c>
      <c r="R12" s="76">
        <f t="shared" si="0"/>
        <v>17100124267.347185</v>
      </c>
      <c r="S12" s="76">
        <f t="shared" si="0"/>
        <v>18129878876.966518</v>
      </c>
      <c r="T12" s="76">
        <f t="shared" si="0"/>
        <v>19221630687.143417</v>
      </c>
      <c r="U12" s="76">
        <f t="shared" si="0"/>
        <v>20379054392.764671</v>
      </c>
      <c r="V12" s="76">
        <f t="shared" si="0"/>
        <v>21606045277.635715</v>
      </c>
      <c r="W12" s="76">
        <f t="shared" si="0"/>
        <v>22906730884.317894</v>
      </c>
      <c r="X12" s="76">
        <f t="shared" si="0"/>
        <v>24285483635.693863</v>
      </c>
      <c r="Y12" s="76">
        <f t="shared" si="0"/>
        <v>25746934359.572479</v>
      </c>
      <c r="Z12" s="76">
        <f t="shared" si="0"/>
        <v>27295986700.24971</v>
      </c>
      <c r="AA12" s="76">
        <f t="shared" si="0"/>
        <v>28937832421.382507</v>
      </c>
      <c r="AB12" s="76">
        <f t="shared" si="0"/>
        <v>30677967617.936195</v>
      </c>
      <c r="AC12" s="76">
        <f t="shared" si="0"/>
        <v>32522209864.184387</v>
      </c>
      <c r="AD12" s="76">
        <f t="shared" si="0"/>
        <v>34479552100.841614</v>
      </c>
      <c r="AE12" s="76">
        <f t="shared" si="0"/>
        <v>36551101602.432587</v>
      </c>
      <c r="AF12" s="76">
        <f t="shared" si="0"/>
        <v>38746350391.660713</v>
      </c>
      <c r="AG12" s="76">
        <f t="shared" si="0"/>
        <v>41072595698.412628</v>
      </c>
      <c r="AH12" s="76">
        <f t="shared" si="0"/>
        <v>43537557557.870209</v>
      </c>
      <c r="AI12" s="76">
        <f t="shared" ref="AI12:AV12" si="1">+AI7-AI8-AI9-AI10-AI11</f>
        <v>46149402448.823509</v>
      </c>
      <c r="AJ12" s="76">
        <f t="shared" si="1"/>
        <v>48916768185.896317</v>
      </c>
      <c r="AK12" s="76">
        <f t="shared" si="1"/>
        <v>51848790122.167953</v>
      </c>
      <c r="AL12" s="76">
        <f t="shared" si="1"/>
        <v>54955128720.782684</v>
      </c>
      <c r="AM12" s="76">
        <f t="shared" si="1"/>
        <v>58245998556.119049</v>
      </c>
      <c r="AN12" s="76">
        <f t="shared" si="1"/>
        <v>61732198806.94664</v>
      </c>
      <c r="AO12" s="76">
        <f t="shared" si="1"/>
        <v>65425145305.731331</v>
      </c>
      <c r="AP12" s="76">
        <f t="shared" si="1"/>
        <v>69336904209.833847</v>
      </c>
      <c r="AQ12" s="76">
        <f t="shared" si="1"/>
        <v>73480227361.775452</v>
      </c>
      <c r="AR12" s="76">
        <f t="shared" si="1"/>
        <v>77868589406.987686</v>
      </c>
      <c r="AS12" s="76">
        <f t="shared" si="1"/>
        <v>82516226738.489197</v>
      </c>
      <c r="AT12" s="76">
        <f t="shared" si="1"/>
        <v>87438178338.711029</v>
      </c>
      <c r="AU12" s="76">
        <f t="shared" si="1"/>
        <v>92650328589.182556</v>
      </c>
      <c r="AV12" s="76">
        <f t="shared" si="1"/>
        <v>98169452118.936371</v>
      </c>
      <c r="AW12" s="76"/>
      <c r="AX12" s="76"/>
      <c r="AY12" s="76"/>
      <c r="AZ12" s="76"/>
      <c r="BA12" s="76"/>
      <c r="BB12" s="76"/>
    </row>
    <row r="13" spans="1:86" x14ac:dyDescent="0.25">
      <c r="A13" s="7" t="s">
        <v>10</v>
      </c>
      <c r="B13" s="5" t="s">
        <v>4</v>
      </c>
      <c r="C13" s="563" t="s">
        <v>9</v>
      </c>
      <c r="D13" s="77"/>
      <c r="E13" s="77">
        <f>IF($A$36=0,ACTUALMENTE!D35,IF($A$36=1,REEMPLAZO!D35,REFURBISHMENT!D35))</f>
        <v>163213773.74783266</v>
      </c>
      <c r="F13" s="77">
        <f>IF($A$36=0,ACTUALMENTE!E35,IF($A$36=1,REEMPLAZO!E35,REFURBISHMENT!E35))</f>
        <v>192281260.82435337</v>
      </c>
      <c r="G13" s="77">
        <f>IF($A$36=0,ACTUALMENTE!F35,IF($A$36=1,REEMPLAZO!F35,REFURBISHMENT!F35))</f>
        <v>229147774.70890206</v>
      </c>
      <c r="H13" s="77">
        <f>IF($A$36=0,ACTUALMENTE!G35,IF($A$36=1,REEMPLAZO!G35,REFURBISHMENT!G35))</f>
        <v>277960325.35928005</v>
      </c>
      <c r="I13" s="77">
        <f>IF($A$36=0,ACTUALMENTE!H35,IF($A$36=1,REEMPLAZO!H35,REFURBISHMENT!H35))</f>
        <v>265459421.66702342</v>
      </c>
      <c r="J13" s="77">
        <f>IF($A$36=0,ACTUALMENTE!I35,IF($A$36=1,REEMPLAZO!I35,REFURBISHMENT!I35))</f>
        <v>239435908.36546758</v>
      </c>
      <c r="K13" s="77">
        <f>IF($A$36=0,ACTUALMENTE!J35,IF($A$36=1,REEMPLAZO!J35,REFURBISHMENT!J35))</f>
        <v>256755592.20485276</v>
      </c>
      <c r="L13" s="77">
        <f>IF($A$36=0,ACTUALMENTE!K35,IF($A$36=1,REEMPLAZO!K35,REFURBISHMENT!K35))</f>
        <v>229185487.036497</v>
      </c>
      <c r="M13" s="77">
        <f>IF($A$36=0,ACTUALMENTE!L35,IF($A$36=1,REEMPLAZO!L35,REFURBISHMENT!L35))</f>
        <v>236330285.72507393</v>
      </c>
      <c r="N13" s="77">
        <f>IF($A$36=0,ACTUALMENTE!M35,IF($A$36=1,REEMPLAZO!M35,REFURBISHMENT!M35))</f>
        <v>253511880.1163615</v>
      </c>
      <c r="O13" s="77">
        <f>IF($A$36=0,ACTUALMENTE!N35,IF($A$36=1,REEMPLAZO!N35,REFURBISHMENT!N35))</f>
        <v>232886579.53061786</v>
      </c>
      <c r="P13" s="77">
        <f>IF($A$36=0,ACTUALMENTE!O35,IF($A$36=1,REEMPLAZO!O35,REFURBISHMENT!O35))</f>
        <v>241264501.84698391</v>
      </c>
      <c r="Q13" s="77">
        <f>IF($A$36=0,ACTUALMENTE!P35,IF($A$36=1,REEMPLAZO!P35,REFURBISHMENT!P35))</f>
        <v>280037136.38666236</v>
      </c>
      <c r="R13" s="77">
        <f>IF($A$36=0,ACTUALMENTE!Q35,IF($A$36=1,REEMPLAZO!Q35,REFURBISHMENT!Q35))</f>
        <v>292360643.24750471</v>
      </c>
      <c r="S13" s="77">
        <f>IF($A$36=0,ACTUALMENTE!R35,IF($A$36=1,REEMPLAZO!R35,REFURBISHMENT!R35))</f>
        <v>310165406.4212777</v>
      </c>
      <c r="T13" s="77">
        <f>IF($A$36=0,ACTUALMENTE!S35,IF($A$36=1,REEMPLAZO!S35,REFURBISHMENT!S35))</f>
        <v>329054479.67233354</v>
      </c>
      <c r="U13" s="77">
        <f>IF($A$36=0,ACTUALMENTE!T35,IF($A$36=1,REEMPLAZO!T35,REFURBISHMENT!T35))</f>
        <v>349093897.48437864</v>
      </c>
      <c r="V13" s="77">
        <f>IF($A$36=0,ACTUALMENTE!U35,IF($A$36=1,REEMPLAZO!U35,REFURBISHMENT!U35))</f>
        <v>370353715.84117728</v>
      </c>
      <c r="W13" s="77">
        <f>IF($A$36=0,ACTUALMENTE!V35,IF($A$36=1,REEMPLAZO!V35,REFURBISHMENT!V35))</f>
        <v>392908257.13590491</v>
      </c>
      <c r="X13" s="77">
        <f>IF($A$36=0,ACTUALMENTE!W35,IF($A$36=1,REEMPLAZO!W35,REFURBISHMENT!W35))</f>
        <v>416836369.99548155</v>
      </c>
      <c r="Y13" s="77">
        <f>IF($A$36=0,ACTUALMENTE!X35,IF($A$36=1,REEMPLAZO!X35,REFURBISHMENT!X35))</f>
        <v>442221704.92820632</v>
      </c>
      <c r="Z13" s="77">
        <f>IF($A$36=0,ACTUALMENTE!Y35,IF($A$36=1,REEMPLAZO!Y35,REFURBISHMENT!Y35))</f>
        <v>469153006.75833404</v>
      </c>
      <c r="AA13" s="77">
        <f>IF($A$36=0,ACTUALMENTE!Z35,IF($A$36=1,REEMPLAZO!Z35,REFURBISHMENT!Z35))</f>
        <v>497724424.86991656</v>
      </c>
      <c r="AB13" s="77">
        <f>IF($A$36=0,ACTUALMENTE!AA35,IF($A$36=1,REEMPLAZO!AA35,REFURBISHMENT!AA35))</f>
        <v>528035842.34449446</v>
      </c>
      <c r="AC13" s="77">
        <f>IF($A$36=0,ACTUALMENTE!AB35,IF($A$36=1,REEMPLAZO!AB35,REFURBISHMENT!AB35))</f>
        <v>560193225.14327419</v>
      </c>
      <c r="AD13" s="77">
        <f>IF($A$36=0,ACTUALMENTE!AC35,IF($A$36=1,REEMPLAZO!AC35,REFURBISHMENT!AC35))</f>
        <v>594308992.55449951</v>
      </c>
      <c r="AE13" s="77">
        <f>IF($A$36=0,ACTUALMENTE!AD35,IF($A$36=1,REEMPLAZO!AD35,REFURBISHMENT!AD35))</f>
        <v>630502410.20106852</v>
      </c>
      <c r="AF13" s="77">
        <f>IF($A$36=0,ACTUALMENTE!AE35,IF($A$36=1,REEMPLAZO!AE35,REFURBISHMENT!AE35))</f>
        <v>668900006.98231363</v>
      </c>
      <c r="AG13" s="77">
        <f>IF($A$36=0,ACTUALMENTE!AF35,IF($A$36=1,REEMPLAZO!AF35,REFURBISHMENT!AF35))</f>
        <v>709636017.40753663</v>
      </c>
      <c r="AH13" s="77">
        <f>IF($A$36=0,ACTUALMENTE!AG35,IF($A$36=1,REEMPLAZO!AG35,REFURBISHMENT!AG35))</f>
        <v>752852850.86765563</v>
      </c>
      <c r="AI13" s="77">
        <f>IF($A$36=0,ACTUALMENTE!AH35,IF($A$36=1,REEMPLAZO!AH35,REFURBISHMENT!AH35))</f>
        <v>798701589.48549569</v>
      </c>
      <c r="AJ13" s="77">
        <f>IF($A$36=0,ACTUALMENTE!AI35,IF($A$36=1,REEMPLAZO!AI35,REFURBISHMENT!AI35))</f>
        <v>847342516.28516233</v>
      </c>
      <c r="AK13" s="77">
        <f>IF($A$36=0,ACTUALMENTE!AJ35,IF($A$36=1,REEMPLAZO!AJ35,REFURBISHMENT!AJ35))</f>
        <v>898945675.5269289</v>
      </c>
      <c r="AL13" s="77">
        <f>IF($A$36=0,ACTUALMENTE!AK35,IF($A$36=1,REEMPLAZO!AK35,REFURBISHMENT!AK35))</f>
        <v>953691467.16651881</v>
      </c>
      <c r="AM13" s="77">
        <f>IF($A$36=0,ACTUALMENTE!AL35,IF($A$36=1,REEMPLAZO!AL35,REFURBISHMENT!AL35))</f>
        <v>1011771277.5169597</v>
      </c>
      <c r="AN13" s="77">
        <f>IF($A$36=0,ACTUALMENTE!AM35,IF($A$36=1,REEMPLAZO!AM35,REFURBISHMENT!AM35))</f>
        <v>1073388148.3177425</v>
      </c>
      <c r="AO13" s="77">
        <f>IF($A$36=0,ACTUALMENTE!AN35,IF($A$36=1,REEMPLAZO!AN35,REFURBISHMENT!AN35))</f>
        <v>1138757486.550293</v>
      </c>
      <c r="AP13" s="77">
        <f>IF($A$36=0,ACTUALMENTE!AO35,IF($A$36=1,REEMPLAZO!AO35,REFURBISHMENT!AO35))</f>
        <v>1208107817.4812057</v>
      </c>
      <c r="AQ13" s="77">
        <f>IF($A$36=0,ACTUALMENTE!AP35,IF($A$36=1,REEMPLAZO!AP35,REFURBISHMENT!AP35))</f>
        <v>1281681583.5658112</v>
      </c>
      <c r="AR13" s="77">
        <f>IF($A$36=0,ACTUALMENTE!AQ35,IF($A$36=1,REEMPLAZO!AQ35,REFURBISHMENT!AQ35))</f>
        <v>1359735992.0049691</v>
      </c>
      <c r="AS13" s="77">
        <f>IF($A$36=0,ACTUALMENTE!AR35,IF($A$36=1,REEMPLAZO!AR35,REFURBISHMENT!AR35))</f>
        <v>1442543913.9180715</v>
      </c>
      <c r="AT13" s="77">
        <f>IF($A$36=0,ACTUALMENTE!AS35,IF($A$36=1,REEMPLAZO!AS35,REFURBISHMENT!AS35))</f>
        <v>1530394838.275682</v>
      </c>
      <c r="AU13" s="77">
        <f>IF($A$36=0,ACTUALMENTE!AT35,IF($A$36=1,REEMPLAZO!AT35,REFURBISHMENT!AT35))</f>
        <v>1623595883.926671</v>
      </c>
      <c r="AV13" s="77">
        <f>IF($A$36=0,ACTUALMENTE!AU35,IF($A$36=1,REEMPLAZO!AU35,REFURBISHMENT!AU35))</f>
        <v>1722472873.2578051</v>
      </c>
      <c r="AW13" s="77"/>
      <c r="AX13" s="77"/>
      <c r="AY13" s="77"/>
      <c r="AZ13" s="77"/>
      <c r="BA13" s="77"/>
      <c r="BB13" s="77"/>
    </row>
    <row r="14" spans="1:86" ht="15.75" thickBot="1" x14ac:dyDescent="0.3">
      <c r="A14" s="9"/>
      <c r="B14" s="10" t="s">
        <v>7</v>
      </c>
      <c r="C14" s="625" t="s">
        <v>12</v>
      </c>
      <c r="D14" s="76">
        <f>+D12-D13</f>
        <v>0</v>
      </c>
      <c r="E14" s="76">
        <f t="shared" ref="E14:AH14" si="2">+E12-E13</f>
        <v>8546994512.5210848</v>
      </c>
      <c r="F14" s="76">
        <f t="shared" si="2"/>
        <v>10323234288.403965</v>
      </c>
      <c r="G14" s="76">
        <f t="shared" si="2"/>
        <v>12575833438.56241</v>
      </c>
      <c r="H14" s="76">
        <f t="shared" si="2"/>
        <v>15558131172.142744</v>
      </c>
      <c r="I14" s="76">
        <f t="shared" si="2"/>
        <v>14795168875.543272</v>
      </c>
      <c r="J14" s="76">
        <f t="shared" si="2"/>
        <v>13206132188.551943</v>
      </c>
      <c r="K14" s="76">
        <f t="shared" si="2"/>
        <v>14264620907.192669</v>
      </c>
      <c r="L14" s="76">
        <f t="shared" si="2"/>
        <v>12581055695.118637</v>
      </c>
      <c r="M14" s="76">
        <f t="shared" si="2"/>
        <v>13018177707.282253</v>
      </c>
      <c r="N14" s="76">
        <f t="shared" si="2"/>
        <v>14065207771.016575</v>
      </c>
      <c r="O14" s="76">
        <f t="shared" si="2"/>
        <v>12794318026.217989</v>
      </c>
      <c r="P14" s="76">
        <f t="shared" si="2"/>
        <v>13656898595.94846</v>
      </c>
      <c r="Q14" s="76">
        <f t="shared" si="2"/>
        <v>14564560923.134872</v>
      </c>
      <c r="R14" s="76">
        <f t="shared" si="2"/>
        <v>16807763624.09968</v>
      </c>
      <c r="S14" s="76">
        <f t="shared" si="2"/>
        <v>17819713470.545242</v>
      </c>
      <c r="T14" s="76">
        <f t="shared" si="2"/>
        <v>18892576207.471085</v>
      </c>
      <c r="U14" s="76">
        <f t="shared" si="2"/>
        <v>20029960495.280293</v>
      </c>
      <c r="V14" s="76">
        <f t="shared" si="2"/>
        <v>21235691561.794537</v>
      </c>
      <c r="W14" s="76">
        <f t="shared" si="2"/>
        <v>22513822627.181988</v>
      </c>
      <c r="X14" s="76">
        <f t="shared" si="2"/>
        <v>23868647265.69838</v>
      </c>
      <c r="Y14" s="76">
        <f t="shared" si="2"/>
        <v>25304712654.644272</v>
      </c>
      <c r="Z14" s="76">
        <f t="shared" si="2"/>
        <v>26826833693.491375</v>
      </c>
      <c r="AA14" s="76">
        <f t="shared" si="2"/>
        <v>28440107996.512592</v>
      </c>
      <c r="AB14" s="76">
        <f t="shared" si="2"/>
        <v>30149931775.591702</v>
      </c>
      <c r="AC14" s="76">
        <f t="shared" si="2"/>
        <v>31962016639.041115</v>
      </c>
      <c r="AD14" s="76">
        <f t="shared" si="2"/>
        <v>33885243108.287113</v>
      </c>
      <c r="AE14" s="76">
        <f t="shared" si="2"/>
        <v>35920599192.231522</v>
      </c>
      <c r="AF14" s="76">
        <f t="shared" si="2"/>
        <v>38077450384.678398</v>
      </c>
      <c r="AG14" s="76">
        <f t="shared" si="2"/>
        <v>40362959681.005089</v>
      </c>
      <c r="AH14" s="76">
        <f t="shared" si="2"/>
        <v>42784704707.002556</v>
      </c>
      <c r="AI14" s="76">
        <f t="shared" ref="AI14:AV14" si="3">+AI12-AI13</f>
        <v>45350700859.338013</v>
      </c>
      <c r="AJ14" s="76">
        <f t="shared" si="3"/>
        <v>48069425669.611153</v>
      </c>
      <c r="AK14" s="76">
        <f t="shared" si="3"/>
        <v>50949844446.641022</v>
      </c>
      <c r="AL14" s="76">
        <f t="shared" si="3"/>
        <v>54001437253.616165</v>
      </c>
      <c r="AM14" s="76">
        <f t="shared" si="3"/>
        <v>57234227278.602089</v>
      </c>
      <c r="AN14" s="76">
        <f t="shared" si="3"/>
        <v>60658810658.628899</v>
      </c>
      <c r="AO14" s="76">
        <f t="shared" si="3"/>
        <v>64286387819.181038</v>
      </c>
      <c r="AP14" s="76">
        <f t="shared" si="3"/>
        <v>68128796392.352638</v>
      </c>
      <c r="AQ14" s="76">
        <f t="shared" si="3"/>
        <v>72198545778.209641</v>
      </c>
      <c r="AR14" s="76">
        <f t="shared" si="3"/>
        <v>76508853414.982712</v>
      </c>
      <c r="AS14" s="76">
        <f t="shared" si="3"/>
        <v>81073682824.571121</v>
      </c>
      <c r="AT14" s="76">
        <f t="shared" si="3"/>
        <v>85907783500.435349</v>
      </c>
      <c r="AU14" s="76">
        <f t="shared" si="3"/>
        <v>91026732705.25589</v>
      </c>
      <c r="AV14" s="76">
        <f t="shared" si="3"/>
        <v>96446979245.678558</v>
      </c>
      <c r="AW14" s="76"/>
      <c r="AX14" s="76"/>
      <c r="AY14" s="76"/>
      <c r="AZ14" s="76"/>
      <c r="BA14" s="76"/>
      <c r="BB14" s="76"/>
    </row>
    <row r="15" spans="1:86" x14ac:dyDescent="0.25">
      <c r="A15" s="4"/>
      <c r="B15" s="5" t="s">
        <v>3</v>
      </c>
      <c r="C15" s="563" t="s">
        <v>13</v>
      </c>
      <c r="D15" s="77"/>
      <c r="E15" s="77"/>
      <c r="F15" s="77"/>
      <c r="G15" s="77"/>
      <c r="H15" s="90"/>
      <c r="I15" s="90">
        <f>+'Dep y Dif ACTUALMENTE'!I7</f>
        <v>0</v>
      </c>
      <c r="J15" s="90">
        <f>+'Dep y Dif ACTUALMENTE'!J7</f>
        <v>0</v>
      </c>
      <c r="K15" s="90">
        <f>+'Dep y Dif ACTUALMENTE'!K7</f>
        <v>0</v>
      </c>
      <c r="L15" s="90">
        <f>+'Dep y Dif ACTUALMENTE'!L7</f>
        <v>0</v>
      </c>
      <c r="M15" s="90">
        <f>+'Dep y Dif ACTUALMENTE'!M7</f>
        <v>0</v>
      </c>
      <c r="N15" s="90">
        <f>+'Dep y Dif ACTUALMENTE'!N7</f>
        <v>0</v>
      </c>
      <c r="O15" s="90">
        <f>+'Dep y Dif ACTUALMENTE'!O7</f>
        <v>0</v>
      </c>
      <c r="P15" s="90">
        <f>+'Dep y Dif ACTUALMENTE'!P7</f>
        <v>0</v>
      </c>
      <c r="Q15" s="90">
        <f>+'Dep y Dif ACTUALMENTE'!Q7</f>
        <v>0</v>
      </c>
      <c r="R15" s="90">
        <f>+'Dep y Dif ACTUALMENTE'!R7</f>
        <v>0</v>
      </c>
      <c r="S15" s="90">
        <f>+'Dep y Dif ACTUALMENTE'!S7</f>
        <v>0</v>
      </c>
      <c r="T15" s="90">
        <f>+'Dep y Dif ACTUALMENTE'!T7</f>
        <v>0</v>
      </c>
      <c r="U15" s="90">
        <f>+'Dep y Dif ACTUALMENTE'!U7</f>
        <v>0</v>
      </c>
      <c r="V15" s="90">
        <f>+'Dep y Dif ACTUALMENTE'!V7</f>
        <v>0</v>
      </c>
      <c r="W15" s="90">
        <f>+'Dep y Dif ACTUALMENTE'!W7</f>
        <v>0</v>
      </c>
      <c r="X15" s="90">
        <f>+'Dep y Dif ACTUALMENTE'!X7</f>
        <v>0</v>
      </c>
      <c r="Y15" s="90">
        <f>+'Dep y Dif ACTUALMENTE'!Y7</f>
        <v>0</v>
      </c>
      <c r="Z15" s="90">
        <f>+'Dep y Dif ACTUALMENTE'!Z7</f>
        <v>0</v>
      </c>
      <c r="AA15" s="90">
        <f>+'Dep y Dif ACTUALMENTE'!AA7</f>
        <v>0</v>
      </c>
      <c r="AB15" s="90">
        <f>+'Dep y Dif ACTUALMENTE'!AB7</f>
        <v>0</v>
      </c>
      <c r="AC15" s="90">
        <f>+'Dep y Dif ACTUALMENTE'!AC7</f>
        <v>0</v>
      </c>
      <c r="AD15" s="90">
        <f>+'Dep y Dif ACTUALMENTE'!AD7</f>
        <v>0</v>
      </c>
      <c r="AE15" s="90">
        <f>+'Dep y Dif ACTUALMENTE'!AE7</f>
        <v>0</v>
      </c>
      <c r="AF15" s="90">
        <f>+'Dep y Dif ACTUALMENTE'!AF7</f>
        <v>0</v>
      </c>
      <c r="AG15" s="90">
        <f>+'Dep y Dif ACTUALMENTE'!AG7</f>
        <v>0</v>
      </c>
      <c r="AH15" s="90">
        <f>+'Dep y Dif ACTUALMENTE'!AH7</f>
        <v>0</v>
      </c>
      <c r="AI15" s="90">
        <f>+'Dep y Dif ACTUALMENTE'!AI7</f>
        <v>0</v>
      </c>
      <c r="AJ15" s="90">
        <f>+'Dep y Dif ACTUALMENTE'!AJ7</f>
        <v>0</v>
      </c>
      <c r="AK15" s="90">
        <f>+'Dep y Dif ACTUALMENTE'!AK7</f>
        <v>0</v>
      </c>
      <c r="AL15" s="90">
        <f>+'Dep y Dif ACTUALMENTE'!AL7</f>
        <v>0</v>
      </c>
      <c r="AM15" s="90">
        <f>+'Dep y Dif ACTUALMENTE'!AM7</f>
        <v>0</v>
      </c>
      <c r="AN15" s="90">
        <f>+'Dep y Dif ACTUALMENTE'!AN7</f>
        <v>0</v>
      </c>
      <c r="AO15" s="90">
        <f>+'Dep y Dif ACTUALMENTE'!AO7</f>
        <v>0</v>
      </c>
      <c r="AP15" s="90">
        <f>+'Dep y Dif ACTUALMENTE'!AP7</f>
        <v>0</v>
      </c>
      <c r="AQ15" s="90">
        <f>+'Dep y Dif ACTUALMENTE'!AQ7</f>
        <v>0</v>
      </c>
      <c r="AR15" s="90">
        <f>+'Dep y Dif ACTUALMENTE'!AR7</f>
        <v>0</v>
      </c>
      <c r="AS15" s="90">
        <f>+'Dep y Dif ACTUALMENTE'!AS7</f>
        <v>0</v>
      </c>
      <c r="AT15" s="90">
        <f>+'Dep y Dif ACTUALMENTE'!AT7</f>
        <v>0</v>
      </c>
      <c r="AU15" s="90">
        <f>+'Dep y Dif ACTUALMENTE'!AU7</f>
        <v>0</v>
      </c>
      <c r="AV15" s="90">
        <f>+'Dep y Dif ACTUALMENTE'!AV7</f>
        <v>0</v>
      </c>
      <c r="AW15" s="90"/>
      <c r="AX15" s="90"/>
      <c r="AY15" s="90"/>
      <c r="AZ15" s="90"/>
      <c r="BA15" s="90"/>
      <c r="BB15" s="90"/>
    </row>
    <row r="16" spans="1:86" x14ac:dyDescent="0.25">
      <c r="A16" s="7"/>
      <c r="B16" s="8" t="s">
        <v>4</v>
      </c>
      <c r="C16" s="623" t="s">
        <v>14</v>
      </c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</row>
    <row r="17" spans="1:54" ht="15.75" thickBot="1" x14ac:dyDescent="0.3">
      <c r="A17" s="9"/>
      <c r="B17" s="10" t="s">
        <v>7</v>
      </c>
      <c r="C17" s="626" t="s">
        <v>15</v>
      </c>
      <c r="D17" s="78">
        <f>+D14+D15-D16</f>
        <v>0</v>
      </c>
      <c r="E17" s="78">
        <f>+E14+E15-E16</f>
        <v>8546994512.5210848</v>
      </c>
      <c r="F17" s="78">
        <f>+F14+F15-F16</f>
        <v>10323234288.403965</v>
      </c>
      <c r="G17" s="78">
        <f>+G14+G15-G16</f>
        <v>12575833438.56241</v>
      </c>
      <c r="H17" s="78">
        <f>+H14+H15-H16</f>
        <v>15558131172.142744</v>
      </c>
      <c r="I17" s="78">
        <f t="shared" ref="I17:AH17" si="4">+I14+I15-I16</f>
        <v>14795168875.543272</v>
      </c>
      <c r="J17" s="78">
        <f t="shared" si="4"/>
        <v>13206132188.551943</v>
      </c>
      <c r="K17" s="78">
        <f t="shared" si="4"/>
        <v>14264620907.192669</v>
      </c>
      <c r="L17" s="78">
        <f t="shared" si="4"/>
        <v>12581055695.118637</v>
      </c>
      <c r="M17" s="78">
        <f t="shared" si="4"/>
        <v>13018177707.282253</v>
      </c>
      <c r="N17" s="78">
        <f t="shared" si="4"/>
        <v>14065207771.016575</v>
      </c>
      <c r="O17" s="78">
        <f t="shared" si="4"/>
        <v>12794318026.217989</v>
      </c>
      <c r="P17" s="78">
        <f t="shared" si="4"/>
        <v>13656898595.94846</v>
      </c>
      <c r="Q17" s="78">
        <f t="shared" si="4"/>
        <v>14564560923.134872</v>
      </c>
      <c r="R17" s="78">
        <f t="shared" si="4"/>
        <v>16807763624.09968</v>
      </c>
      <c r="S17" s="78">
        <f t="shared" si="4"/>
        <v>17819713470.545242</v>
      </c>
      <c r="T17" s="78">
        <f t="shared" si="4"/>
        <v>18892576207.471085</v>
      </c>
      <c r="U17" s="78">
        <f t="shared" si="4"/>
        <v>20029960495.280293</v>
      </c>
      <c r="V17" s="78">
        <f t="shared" si="4"/>
        <v>21235691561.794537</v>
      </c>
      <c r="W17" s="78">
        <f t="shared" si="4"/>
        <v>22513822627.181988</v>
      </c>
      <c r="X17" s="78">
        <f t="shared" si="4"/>
        <v>23868647265.69838</v>
      </c>
      <c r="Y17" s="78">
        <f t="shared" si="4"/>
        <v>25304712654.644272</v>
      </c>
      <c r="Z17" s="78">
        <f t="shared" si="4"/>
        <v>26826833693.491375</v>
      </c>
      <c r="AA17" s="78">
        <f t="shared" si="4"/>
        <v>28440107996.512592</v>
      </c>
      <c r="AB17" s="78">
        <f t="shared" si="4"/>
        <v>30149931775.591702</v>
      </c>
      <c r="AC17" s="78">
        <f t="shared" si="4"/>
        <v>31962016639.041115</v>
      </c>
      <c r="AD17" s="78">
        <f t="shared" si="4"/>
        <v>33885243108.287113</v>
      </c>
      <c r="AE17" s="78">
        <f t="shared" si="4"/>
        <v>35920599192.231522</v>
      </c>
      <c r="AF17" s="78">
        <f t="shared" si="4"/>
        <v>38077450384.678398</v>
      </c>
      <c r="AG17" s="78">
        <f t="shared" si="4"/>
        <v>40362959681.005089</v>
      </c>
      <c r="AH17" s="78">
        <f t="shared" si="4"/>
        <v>42784704707.002556</v>
      </c>
      <c r="AI17" s="78">
        <f t="shared" ref="AI17:AV17" si="5">+AI14+AI15-AI16</f>
        <v>45350700859.338013</v>
      </c>
      <c r="AJ17" s="78">
        <f t="shared" si="5"/>
        <v>48069425669.611153</v>
      </c>
      <c r="AK17" s="78">
        <f t="shared" si="5"/>
        <v>50949844446.641022</v>
      </c>
      <c r="AL17" s="78">
        <f t="shared" si="5"/>
        <v>54001437253.616165</v>
      </c>
      <c r="AM17" s="78">
        <f t="shared" si="5"/>
        <v>57234227278.602089</v>
      </c>
      <c r="AN17" s="78">
        <f t="shared" si="5"/>
        <v>60658810658.628899</v>
      </c>
      <c r="AO17" s="78">
        <f t="shared" si="5"/>
        <v>64286387819.181038</v>
      </c>
      <c r="AP17" s="78">
        <f t="shared" si="5"/>
        <v>68128796392.352638</v>
      </c>
      <c r="AQ17" s="78">
        <f t="shared" si="5"/>
        <v>72198545778.209641</v>
      </c>
      <c r="AR17" s="78">
        <f t="shared" si="5"/>
        <v>76508853414.982712</v>
      </c>
      <c r="AS17" s="78">
        <f t="shared" si="5"/>
        <v>81073682824.571121</v>
      </c>
      <c r="AT17" s="78">
        <f t="shared" si="5"/>
        <v>85907783500.435349</v>
      </c>
      <c r="AU17" s="78">
        <f t="shared" si="5"/>
        <v>91026732705.25589</v>
      </c>
      <c r="AV17" s="78">
        <f t="shared" si="5"/>
        <v>96446979245.678558</v>
      </c>
      <c r="AW17" s="78"/>
      <c r="AX17" s="78"/>
      <c r="AY17" s="78"/>
      <c r="AZ17" s="78"/>
      <c r="BA17" s="78"/>
      <c r="BB17" s="78"/>
    </row>
    <row r="18" spans="1:54" x14ac:dyDescent="0.25">
      <c r="A18" s="4"/>
      <c r="B18" s="11"/>
      <c r="C18" s="563" t="s">
        <v>429</v>
      </c>
      <c r="D18" s="79"/>
      <c r="E18" s="79">
        <f>IF($A$36=0,'Financiacion ACTUALMENTE'!C19,IF($A$36=1,'Financiacion REEMPLAZO'!C20+'Financiacion REEMPLAZO'!C21,'Financiacion REFURBISHMENT'!C20+'Financiacion REFURBISHMENT'!C21))</f>
        <v>2524907614.3331037</v>
      </c>
      <c r="F18" s="79">
        <f>IF($A$36=0,'Financiacion ACTUALMENTE'!D19,IF($A$36=1,'Financiacion REEMPLAZO'!D20+'Financiacion REEMPLAZO'!D21,'Financiacion REFURBISHMENT'!D20+'Financiacion REFURBISHMENT'!D21))</f>
        <v>2493638707.4536901</v>
      </c>
      <c r="G18" s="79">
        <f>IF($A$36=0,'Financiacion ACTUALMENTE'!E19,IF($A$36=1,'Financiacion REEMPLAZO'!E20+'Financiacion REEMPLAZO'!E21,'Financiacion REFURBISHMENT'!E20+'Financiacion REFURBISHMENT'!E21))</f>
        <v>2460456143.4732566</v>
      </c>
      <c r="H18" s="79">
        <f>IF($A$36=0,'Financiacion ACTUALMENTE'!F19,IF($A$36=1,'Financiacion REEMPLAZO'!F20+'Financiacion REEMPLAZO'!F21,'Financiacion REFURBISHMENT'!F20+'Financiacion REFURBISHMENT'!F21))</f>
        <v>2425242806.5772204</v>
      </c>
      <c r="I18" s="79">
        <f>IF($A$36=0,'Financiacion ACTUALMENTE'!G19,IF($A$36=1,'Financiacion REEMPLAZO'!G20+'Financiacion REEMPLAZO'!G21,'Financiacion REFURBISHMENT'!G20+'Financiacion REFURBISHMENT'!G21))</f>
        <v>2387874413.4631472</v>
      </c>
      <c r="J18" s="79">
        <f>IF($A$36=0,'Financiacion ACTUALMENTE'!H19,IF($A$36=1,'Financiacion REEMPLAZO'!H20+'Financiacion REEMPLAZO'!H21,'Financiacion REFURBISHMENT'!H20+'Financiacion REFURBISHMENT'!H21))</f>
        <v>2348219074.6904922</v>
      </c>
      <c r="K18" s="79">
        <f>IF($A$36=0,'Financiacion ACTUALMENTE'!I19,IF($A$36=1,'Financiacion REEMPLAZO'!I20+'Financiacion REEMPLAZO'!I21,'Financiacion REFURBISHMENT'!I20+'Financiacion REFURBISHMENT'!I21))</f>
        <v>2306136829.1849508</v>
      </c>
      <c r="L18" s="79">
        <f>IF($A$36=0,'Financiacion ACTUALMENTE'!J19,IF($A$36=1,'Financiacion REEMPLAZO'!J20+'Financiacion REEMPLAZO'!J21,'Financiacion REFURBISHMENT'!J20+'Financiacion REFURBISHMENT'!J21))</f>
        <v>2261479150.2544703</v>
      </c>
      <c r="M18" s="79">
        <f>IF($A$36=0,'Financiacion ACTUALMENTE'!K19,IF($A$36=1,'Financiacion REEMPLAZO'!K20+'Financiacion REEMPLAZO'!K21,'Financiacion REFURBISHMENT'!K20+'Financiacion REFURBISHMENT'!K21))</f>
        <v>2214088421.3734441</v>
      </c>
      <c r="N18" s="79">
        <f>IF($A$36=0,'Financiacion ACTUALMENTE'!L19,IF($A$36=1,'Financiacion REEMPLAZO'!L20+'Financiacion REEMPLAZO'!L21,'Financiacion REFURBISHMENT'!L20+'Financiacion REFURBISHMENT'!L21))</f>
        <v>2163797379.8848996</v>
      </c>
      <c r="O18" s="79">
        <f>IF($A$36=0,'Financiacion ACTUALMENTE'!M19,IF($A$36=1,'Financiacion REEMPLAZO'!M20+'Financiacion REEMPLAZO'!M21,'Financiacion REFURBISHMENT'!M20+'Financiacion REFURBISHMENT'!M21))</f>
        <v>2110428526.6572559</v>
      </c>
      <c r="P18" s="79">
        <f>IF($A$36=0,'Financiacion ACTUALMENTE'!N19,IF($A$36=1,'Financiacion REEMPLAZO'!N20+'Financiacion REEMPLAZO'!N21,'Financiacion REFURBISHMENT'!N20+'Financiacion REFURBISHMENT'!N21))</f>
        <v>2053793499.6120806</v>
      </c>
      <c r="Q18" s="79">
        <f>IF($A$36=0,'Financiacion ACTUALMENTE'!O19,IF($A$36=1,'Financiacion REEMPLAZO'!O20+'Financiacion REEMPLAZO'!O21,'Financiacion REFURBISHMENT'!O20+'Financiacion REFURBISHMENT'!O21))</f>
        <v>1993692408.9117403</v>
      </c>
      <c r="R18" s="79">
        <f>IF($A$36=0,'Financiacion ACTUALMENTE'!P19,IF($A$36=1,'Financiacion REEMPLAZO'!P20+'Financiacion REEMPLAZO'!P21,'Financiacion REFURBISHMENT'!P20+'Financiacion REFURBISHMENT'!P21))</f>
        <v>1929913131.4605393</v>
      </c>
      <c r="S18" s="79">
        <f>IF($A$36=0,'Financiacion ACTUALMENTE'!Q19,IF($A$36=1,'Financiacion REEMPLAZO'!Q20+'Financiacion REEMPLAZO'!Q21,'Financiacion REFURBISHMENT'!Q20+'Financiacion REFURBISHMENT'!Q21))</f>
        <v>1862230562.2293248</v>
      </c>
      <c r="T18" s="79">
        <f>IF($A$36=0,'Financiacion ACTUALMENTE'!R19,IF($A$36=1,'Financiacion REEMPLAZO'!R20+'Financiacion REEMPLAZO'!R21,'Financiacion REFURBISHMENT'!R20+'Financiacion REFURBISHMENT'!R21))</f>
        <v>1790405819.7611601</v>
      </c>
      <c r="U18" s="79">
        <f>IF($A$36=0,'Financiacion ACTUALMENTE'!S19,IF($A$36=1,'Financiacion REEMPLAZO'!S20+'Financiacion REEMPLAZO'!S21,'Financiacion REFURBISHMENT'!S20+'Financiacion REFURBISHMENT'!S21))</f>
        <v>1714185403.0539436</v>
      </c>
      <c r="V18" s="79">
        <f>IF($A$36=0,'Financiacion ACTUALMENTE'!T19,IF($A$36=1,'Financiacion REEMPLAZO'!T20+'Financiacion REEMPLAZO'!T21,'Financiacion REFURBISHMENT'!T20+'Financiacion REFURBISHMENT'!T21))</f>
        <v>1633300296.8442457</v>
      </c>
      <c r="W18" s="79">
        <f>IF($A$36=0,'Financiacion ACTUALMENTE'!U19,IF($A$36=1,'Financiacion REEMPLAZO'!U20+'Financiacion REEMPLAZO'!U21,'Financiacion REFURBISHMENT'!U20+'Financiacion REFURBISHMENT'!U21))</f>
        <v>1547465022.1345139</v>
      </c>
      <c r="X18" s="79">
        <f>IF($A$36=0,'Financiacion ACTUALMENTE'!V19,IF($A$36=1,'Financiacion REEMPLAZO'!V20+'Financiacion REEMPLAZO'!V21,'Financiacion REFURBISHMENT'!V20+'Financiacion REFURBISHMENT'!V21))</f>
        <v>1456376628.6125467</v>
      </c>
      <c r="Y18" s="79">
        <f>IF($A$36=0,'Financiacion ACTUALMENTE'!W19,IF($A$36=1,'Financiacion REEMPLAZO'!W20+'Financiacion REEMPLAZO'!W21,'Financiacion REFURBISHMENT'!W20+'Financiacion REFURBISHMENT'!W21))</f>
        <v>1359713625.4070351</v>
      </c>
      <c r="Z18" s="79">
        <f>IF($A$36=0,'Financiacion ACTUALMENTE'!X19,IF($A$36=1,'Financiacion REEMPLAZO'!X20+'Financiacion REEMPLAZO'!X21,'Financiacion REFURBISHMENT'!X20+'Financiacion REFURBISHMENT'!X21))</f>
        <v>1257134846.4053464</v>
      </c>
      <c r="AA18" s="79">
        <f>IF($A$36=0,'Financiacion ACTUALMENTE'!Y19,IF($A$36=1,'Financiacion REEMPLAZO'!Y20+'Financiacion REEMPLAZO'!Y21,'Financiacion REFURBISHMENT'!Y20+'Financiacion REFURBISHMENT'!Y21))</f>
        <v>1148278246.1287541</v>
      </c>
      <c r="AB18" s="79">
        <f>IF($A$36=0,'Financiacion ACTUALMENTE'!Z19,IF($A$36=1,'Financiacion REEMPLAZO'!Z20+'Financiacion REEMPLAZO'!Z21,'Financiacion REFURBISHMENT'!Z20+'Financiacion REFURBISHMENT'!Z21))</f>
        <v>1032759621.9152343</v>
      </c>
      <c r="AC18" s="79">
        <f>IF($A$36=0,'Financiacion ACTUALMENTE'!AA19,IF($A$36=1,'Financiacion REEMPLAZO'!AA20+'Financiacion REEMPLAZO'!AA21,'Financiacion REFURBISHMENT'!AA20+'Financiacion REFURBISHMENT'!AA21))</f>
        <v>910171257.89984715</v>
      </c>
      <c r="AD18" s="79">
        <f>IF($A$36=0,'Financiacion ACTUALMENTE'!AB19,IF($A$36=1,'Financiacion REEMPLAZO'!AB20+'Financiacion REEMPLAZO'!AB21,'Financiacion REFURBISHMENT'!AB20+'Financiacion REFURBISHMENT'!AB21))</f>
        <v>780080486.0067184</v>
      </c>
      <c r="AE18" s="79">
        <f>IF($A$36=0,'Financiacion ACTUALMENTE'!AC19,IF($A$36=1,'Financiacion REEMPLAZO'!AC20+'Financiacion REEMPLAZO'!AC21,'Financiacion REFURBISHMENT'!AC20+'Financiacion REFURBISHMENT'!AC21))</f>
        <v>642028158.87373006</v>
      </c>
      <c r="AF18" s="79">
        <f>IF($A$36=0,'Financiacion ACTUALMENTE'!AD19,IF($A$36=1,'Financiacion REEMPLAZO'!AD20+'Financiacion REEMPLAZO'!AD21,'Financiacion REFURBISHMENT'!AD20+'Financiacion REFURBISHMENT'!AD21))</f>
        <v>495527029.32020283</v>
      </c>
      <c r="AG18" s="79">
        <f>IF($A$36=0,'Financiacion ACTUALMENTE'!AE19,IF($A$36=1,'Financiacion REEMPLAZO'!AE20+'Financiacion REEMPLAZO'!AE21,'Financiacion REFURBISHMENT'!AE20+'Financiacion REFURBISHMENT'!AE21))</f>
        <v>340060030.63799977</v>
      </c>
      <c r="AH18" s="79">
        <f>IF($A$36=0,'Financiacion ACTUALMENTE'!AF19,IF($A$36=1,'Financiacion REEMPLAZO'!AF20+'Financiacion REEMPLAZO'!AF21,'Financiacion REFURBISHMENT'!AF20+'Financiacion REFURBISHMENT'!AF21))</f>
        <v>175078451.63644594</v>
      </c>
      <c r="AI18" s="79">
        <f>IF($A$36=0,'Financiacion ACTUALMENTE'!AG19,IF($A$36=1,'Financiacion REEMPLAZO'!AG20+'Financiacion REEMPLAZO'!AG21,'Financiacion REFURBISHMENT'!AG20+'Financiacion REFURBISHMENT'!AG21))</f>
        <v>0</v>
      </c>
      <c r="AJ18" s="79">
        <f>IF($A$36=0,'Financiacion ACTUALMENTE'!AH19,IF($A$36=1,'Financiacion REEMPLAZO'!AH20+'Financiacion REEMPLAZO'!AH21,'Financiacion REFURBISHMENT'!AH20+'Financiacion REFURBISHMENT'!AH21))</f>
        <v>0</v>
      </c>
      <c r="AK18" s="79">
        <f>IF($A$36=0,'Financiacion ACTUALMENTE'!AI19,IF($A$36=1,'Financiacion REEMPLAZO'!AI20+'Financiacion REEMPLAZO'!AI21,'Financiacion REFURBISHMENT'!AI20+'Financiacion REFURBISHMENT'!AI21))</f>
        <v>0</v>
      </c>
      <c r="AL18" s="79">
        <f>IF($A$36=0,'Financiacion ACTUALMENTE'!AJ19,IF($A$36=1,'Financiacion REEMPLAZO'!AJ20+'Financiacion REEMPLAZO'!AJ21,'Financiacion REFURBISHMENT'!AJ20+'Financiacion REFURBISHMENT'!AJ21))</f>
        <v>0</v>
      </c>
      <c r="AM18" s="79">
        <f>IF($A$36=0,'Financiacion ACTUALMENTE'!AK19,IF($A$36=1,'Financiacion REEMPLAZO'!AK20+'Financiacion REEMPLAZO'!AK21,'Financiacion REFURBISHMENT'!AK20+'Financiacion REFURBISHMENT'!AK21))</f>
        <v>0</v>
      </c>
      <c r="AN18" s="79">
        <f>IF($A$36=0,'Financiacion ACTUALMENTE'!AL19,IF($A$36=1,'Financiacion REEMPLAZO'!AL20+'Financiacion REEMPLAZO'!AL21,'Financiacion REFURBISHMENT'!AL20+'Financiacion REFURBISHMENT'!AL21))</f>
        <v>0</v>
      </c>
      <c r="AO18" s="79">
        <f>IF($A$36=0,'Financiacion ACTUALMENTE'!AM19,IF($A$36=1,'Financiacion REEMPLAZO'!AM20+'Financiacion REEMPLAZO'!AM21,'Financiacion REFURBISHMENT'!AM20+'Financiacion REFURBISHMENT'!AM21))</f>
        <v>0</v>
      </c>
      <c r="AP18" s="79">
        <f>IF($A$36=0,'Financiacion ACTUALMENTE'!AN19,IF($A$36=1,'Financiacion REEMPLAZO'!AN20+'Financiacion REEMPLAZO'!AN21,'Financiacion REFURBISHMENT'!AN20+'Financiacion REFURBISHMENT'!AN21))</f>
        <v>0</v>
      </c>
      <c r="AQ18" s="79">
        <f>IF($A$36=0,'Financiacion ACTUALMENTE'!AO19,IF($A$36=1,'Financiacion REEMPLAZO'!AO20+'Financiacion REEMPLAZO'!AO21,'Financiacion REFURBISHMENT'!AO20+'Financiacion REFURBISHMENT'!AO21))</f>
        <v>0</v>
      </c>
      <c r="AR18" s="79">
        <f>IF($A$36=0,'Financiacion ACTUALMENTE'!AP19,IF($A$36=1,'Financiacion REEMPLAZO'!AP20+'Financiacion REEMPLAZO'!AP21,'Financiacion REFURBISHMENT'!AP20+'Financiacion REFURBISHMENT'!AP21))</f>
        <v>0</v>
      </c>
      <c r="AS18" s="79">
        <f>IF($A$36=0,'Financiacion ACTUALMENTE'!AQ19,IF($A$36=1,'Financiacion REEMPLAZO'!AQ20+'Financiacion REEMPLAZO'!AQ21,'Financiacion REFURBISHMENT'!AQ20+'Financiacion REFURBISHMENT'!AQ21))</f>
        <v>0</v>
      </c>
      <c r="AT18" s="79">
        <f>IF($A$36=0,'Financiacion ACTUALMENTE'!AR19,IF($A$36=1,'Financiacion REEMPLAZO'!AR20+'Financiacion REEMPLAZO'!AR21,'Financiacion REFURBISHMENT'!AR20+'Financiacion REFURBISHMENT'!AR21))</f>
        <v>0</v>
      </c>
      <c r="AU18" s="79">
        <f>IF($A$36=0,'Financiacion ACTUALMENTE'!AS19,IF($A$36=1,'Financiacion REEMPLAZO'!AS20+'Financiacion REEMPLAZO'!AS21,'Financiacion REFURBISHMENT'!AS20+'Financiacion REFURBISHMENT'!AS21))</f>
        <v>0</v>
      </c>
      <c r="AV18" s="79">
        <f>IF($A$36=0,'Financiacion ACTUALMENTE'!AT19,IF($A$36=1,'Financiacion REEMPLAZO'!AT20+'Financiacion REEMPLAZO'!AT21,'Financiacion REFURBISHMENT'!AT20+'Financiacion REFURBISHMENT'!AT21))</f>
        <v>0</v>
      </c>
      <c r="AW18" s="79"/>
      <c r="AX18" s="79"/>
      <c r="AY18" s="79"/>
      <c r="AZ18" s="79"/>
      <c r="BA18" s="79"/>
      <c r="BB18" s="79"/>
    </row>
    <row r="19" spans="1:54" x14ac:dyDescent="0.25">
      <c r="A19" s="7"/>
      <c r="B19" s="8" t="s">
        <v>4</v>
      </c>
      <c r="C19" s="627" t="s">
        <v>16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</row>
    <row r="20" spans="1:54" ht="15.75" thickBot="1" x14ac:dyDescent="0.3">
      <c r="A20" s="9" t="s">
        <v>17</v>
      </c>
      <c r="B20" s="10" t="s">
        <v>7</v>
      </c>
      <c r="C20" s="626" t="s">
        <v>18</v>
      </c>
      <c r="D20" s="78">
        <f>+D17-D18-D19</f>
        <v>0</v>
      </c>
      <c r="E20" s="78">
        <f>+E17-E18-E19</f>
        <v>6022086898.1879807</v>
      </c>
      <c r="F20" s="78">
        <f>+F17-F18-F19</f>
        <v>7829595580.9502754</v>
      </c>
      <c r="G20" s="78">
        <f>+G17-G18-G19</f>
        <v>10115377295.089153</v>
      </c>
      <c r="H20" s="78">
        <f>+H17-H18-H19</f>
        <v>13132888365.565523</v>
      </c>
      <c r="I20" s="78">
        <f t="shared" ref="I20:AH20" si="6">+I17-I18-I19</f>
        <v>12407294462.080124</v>
      </c>
      <c r="J20" s="78">
        <f t="shared" si="6"/>
        <v>10857913113.86145</v>
      </c>
      <c r="K20" s="78">
        <f t="shared" si="6"/>
        <v>11958484078.007717</v>
      </c>
      <c r="L20" s="78">
        <f t="shared" si="6"/>
        <v>10319576544.864166</v>
      </c>
      <c r="M20" s="78">
        <f t="shared" si="6"/>
        <v>10804089285.90881</v>
      </c>
      <c r="N20" s="78">
        <f t="shared" si="6"/>
        <v>11901410391.131676</v>
      </c>
      <c r="O20" s="78">
        <f t="shared" si="6"/>
        <v>10683889499.560734</v>
      </c>
      <c r="P20" s="78">
        <f t="shared" si="6"/>
        <v>11603105096.33638</v>
      </c>
      <c r="Q20" s="78">
        <f t="shared" si="6"/>
        <v>12570868514.223133</v>
      </c>
      <c r="R20" s="78">
        <f t="shared" si="6"/>
        <v>14877850492.639141</v>
      </c>
      <c r="S20" s="78">
        <f t="shared" si="6"/>
        <v>15957482908.315918</v>
      </c>
      <c r="T20" s="78">
        <f t="shared" si="6"/>
        <v>17102170387.709925</v>
      </c>
      <c r="U20" s="78">
        <f t="shared" si="6"/>
        <v>18315775092.226349</v>
      </c>
      <c r="V20" s="78">
        <f t="shared" si="6"/>
        <v>19602391264.950291</v>
      </c>
      <c r="W20" s="78">
        <f t="shared" si="6"/>
        <v>20966357605.047474</v>
      </c>
      <c r="X20" s="78">
        <f t="shared" si="6"/>
        <v>22412270637.085835</v>
      </c>
      <c r="Y20" s="78">
        <f t="shared" si="6"/>
        <v>23944999029.237236</v>
      </c>
      <c r="Z20" s="78">
        <f t="shared" si="6"/>
        <v>25569698847.086029</v>
      </c>
      <c r="AA20" s="78">
        <f t="shared" si="6"/>
        <v>27291829750.383839</v>
      </c>
      <c r="AB20" s="78">
        <f t="shared" si="6"/>
        <v>29117172153.676468</v>
      </c>
      <c r="AC20" s="78">
        <f t="shared" si="6"/>
        <v>31051845381.141266</v>
      </c>
      <c r="AD20" s="78">
        <f t="shared" si="6"/>
        <v>33105162622.280396</v>
      </c>
      <c r="AE20" s="78">
        <f t="shared" si="6"/>
        <v>35278571033.357788</v>
      </c>
      <c r="AF20" s="78">
        <f t="shared" si="6"/>
        <v>37581923355.358192</v>
      </c>
      <c r="AG20" s="78">
        <f t="shared" si="6"/>
        <v>40022899650.367088</v>
      </c>
      <c r="AH20" s="78">
        <f t="shared" si="6"/>
        <v>42609626255.366112</v>
      </c>
      <c r="AI20" s="78">
        <f t="shared" ref="AI20:AV20" si="7">+AI17-AI18-AI19</f>
        <v>45350700859.338013</v>
      </c>
      <c r="AJ20" s="78">
        <f t="shared" si="7"/>
        <v>48069425669.611153</v>
      </c>
      <c r="AK20" s="78">
        <f t="shared" si="7"/>
        <v>50949844446.641022</v>
      </c>
      <c r="AL20" s="78">
        <f t="shared" si="7"/>
        <v>54001437253.616165</v>
      </c>
      <c r="AM20" s="78">
        <f t="shared" si="7"/>
        <v>57234227278.602089</v>
      </c>
      <c r="AN20" s="78">
        <f t="shared" si="7"/>
        <v>60658810658.628899</v>
      </c>
      <c r="AO20" s="78">
        <f t="shared" si="7"/>
        <v>64286387819.181038</v>
      </c>
      <c r="AP20" s="78">
        <f t="shared" si="7"/>
        <v>68128796392.352638</v>
      </c>
      <c r="AQ20" s="78">
        <f t="shared" si="7"/>
        <v>72198545778.209641</v>
      </c>
      <c r="AR20" s="78">
        <f t="shared" si="7"/>
        <v>76508853414.982712</v>
      </c>
      <c r="AS20" s="78">
        <f t="shared" si="7"/>
        <v>81073682824.571121</v>
      </c>
      <c r="AT20" s="78">
        <f t="shared" si="7"/>
        <v>85907783500.435349</v>
      </c>
      <c r="AU20" s="78">
        <f t="shared" si="7"/>
        <v>91026732705.25589</v>
      </c>
      <c r="AV20" s="78">
        <f t="shared" si="7"/>
        <v>96446979245.678558</v>
      </c>
      <c r="AW20" s="78"/>
      <c r="AX20" s="78"/>
      <c r="AY20" s="78"/>
      <c r="AZ20" s="78"/>
      <c r="BA20" s="78"/>
      <c r="BB20" s="78"/>
    </row>
    <row r="21" spans="1:54" x14ac:dyDescent="0.25">
      <c r="A21" s="4"/>
      <c r="B21" s="5" t="s">
        <v>4</v>
      </c>
      <c r="C21" s="563" t="s">
        <v>19</v>
      </c>
      <c r="D21" s="77"/>
      <c r="E21" s="77">
        <f>+IF(E20&lt;0,0,E20*33%)</f>
        <v>1987288676.4020338</v>
      </c>
      <c r="F21" s="77">
        <f>+IF(F20&lt;0,0,F20*33%)</f>
        <v>2583766541.7135911</v>
      </c>
      <c r="G21" s="77">
        <f t="shared" ref="G21:AH21" si="8">+IF(G20&lt;0,0,G20*33%)</f>
        <v>3338074507.3794208</v>
      </c>
      <c r="H21" s="77">
        <f t="shared" si="8"/>
        <v>4333853160.6366224</v>
      </c>
      <c r="I21" s="77">
        <f t="shared" si="8"/>
        <v>4094407172.4864411</v>
      </c>
      <c r="J21" s="77">
        <f t="shared" si="8"/>
        <v>3583111327.5742788</v>
      </c>
      <c r="K21" s="77">
        <f t="shared" si="8"/>
        <v>3946299745.742547</v>
      </c>
      <c r="L21" s="77">
        <f t="shared" si="8"/>
        <v>3405460259.8051748</v>
      </c>
      <c r="M21" s="77">
        <f t="shared" si="8"/>
        <v>3565349464.3499074</v>
      </c>
      <c r="N21" s="77">
        <f t="shared" si="8"/>
        <v>3927465429.0734529</v>
      </c>
      <c r="O21" s="77">
        <f t="shared" si="8"/>
        <v>3525683534.8550425</v>
      </c>
      <c r="P21" s="77">
        <f t="shared" si="8"/>
        <v>3829024681.7910056</v>
      </c>
      <c r="Q21" s="77">
        <f t="shared" si="8"/>
        <v>4148386609.693634</v>
      </c>
      <c r="R21" s="77">
        <f t="shared" si="8"/>
        <v>4909690662.5709171</v>
      </c>
      <c r="S21" s="77">
        <f t="shared" si="8"/>
        <v>5265969359.7442532</v>
      </c>
      <c r="T21" s="77">
        <f t="shared" si="8"/>
        <v>5643716227.9442759</v>
      </c>
      <c r="U21" s="77">
        <f t="shared" si="8"/>
        <v>6044205780.4346952</v>
      </c>
      <c r="V21" s="77">
        <f t="shared" si="8"/>
        <v>6468789117.4335966</v>
      </c>
      <c r="W21" s="77">
        <f t="shared" si="8"/>
        <v>6918898009.6656666</v>
      </c>
      <c r="X21" s="77">
        <f t="shared" si="8"/>
        <v>7396049310.2383261</v>
      </c>
      <c r="Y21" s="77">
        <f t="shared" si="8"/>
        <v>7901849679.6482887</v>
      </c>
      <c r="Z21" s="77">
        <f t="shared" si="8"/>
        <v>8438000619.5383902</v>
      </c>
      <c r="AA21" s="77">
        <f t="shared" si="8"/>
        <v>9006303817.626667</v>
      </c>
      <c r="AB21" s="77">
        <f t="shared" si="8"/>
        <v>9608666810.7132339</v>
      </c>
      <c r="AC21" s="77">
        <f t="shared" si="8"/>
        <v>10247108975.776619</v>
      </c>
      <c r="AD21" s="77">
        <f t="shared" si="8"/>
        <v>10924703665.352531</v>
      </c>
      <c r="AE21" s="77">
        <f t="shared" si="8"/>
        <v>11641928441.00807</v>
      </c>
      <c r="AF21" s="77">
        <f t="shared" si="8"/>
        <v>12402034707.268204</v>
      </c>
      <c r="AG21" s="77">
        <f t="shared" si="8"/>
        <v>13207556884.62114</v>
      </c>
      <c r="AH21" s="77">
        <f t="shared" si="8"/>
        <v>14061176664.270817</v>
      </c>
      <c r="AI21" s="77">
        <f t="shared" ref="AI21:AV21" si="9">+IF(AI20&lt;0,0,AI20*33%)</f>
        <v>14965731283.581545</v>
      </c>
      <c r="AJ21" s="77">
        <f t="shared" si="9"/>
        <v>15862910470.971682</v>
      </c>
      <c r="AK21" s="77">
        <f t="shared" si="9"/>
        <v>16813448667.391539</v>
      </c>
      <c r="AL21" s="77">
        <f t="shared" si="9"/>
        <v>17820474293.693336</v>
      </c>
      <c r="AM21" s="77">
        <f t="shared" si="9"/>
        <v>18887295001.93869</v>
      </c>
      <c r="AN21" s="77">
        <f t="shared" si="9"/>
        <v>20017407517.347538</v>
      </c>
      <c r="AO21" s="77">
        <f t="shared" si="9"/>
        <v>21214507980.329742</v>
      </c>
      <c r="AP21" s="77">
        <f t="shared" si="9"/>
        <v>22482502809.476372</v>
      </c>
      <c r="AQ21" s="77">
        <f t="shared" si="9"/>
        <v>23825520106.809181</v>
      </c>
      <c r="AR21" s="77">
        <f t="shared" si="9"/>
        <v>25247921626.944298</v>
      </c>
      <c r="AS21" s="77">
        <f t="shared" si="9"/>
        <v>26754315332.108471</v>
      </c>
      <c r="AT21" s="77">
        <f t="shared" si="9"/>
        <v>28349568555.143665</v>
      </c>
      <c r="AU21" s="77">
        <f t="shared" si="9"/>
        <v>30038821792.734444</v>
      </c>
      <c r="AV21" s="77">
        <f t="shared" si="9"/>
        <v>31827503151.073925</v>
      </c>
      <c r="AW21" s="77"/>
      <c r="AX21" s="77"/>
      <c r="AY21" s="77"/>
      <c r="AZ21" s="77"/>
      <c r="BA21" s="77"/>
      <c r="BB21" s="77"/>
    </row>
    <row r="22" spans="1:54" ht="15.75" thickBot="1" x14ac:dyDescent="0.3">
      <c r="A22" s="9" t="s">
        <v>20</v>
      </c>
      <c r="B22" s="10" t="s">
        <v>7</v>
      </c>
      <c r="C22" s="626" t="s">
        <v>714</v>
      </c>
      <c r="D22" s="78">
        <f>+D20-D21</f>
        <v>0</v>
      </c>
      <c r="E22" s="91">
        <f>+E20-E21</f>
        <v>4034798221.7859468</v>
      </c>
      <c r="F22" s="78">
        <f>+F20-F21</f>
        <v>5245829039.2366848</v>
      </c>
      <c r="G22" s="78">
        <f>+G20-G21</f>
        <v>6777302787.7097321</v>
      </c>
      <c r="H22" s="78">
        <f>+H20-H21</f>
        <v>8799035204.9289017</v>
      </c>
      <c r="I22" s="78">
        <f t="shared" ref="I22:AH22" si="10">+I20-I21</f>
        <v>8312887289.5936832</v>
      </c>
      <c r="J22" s="78">
        <f t="shared" si="10"/>
        <v>7274801786.2871714</v>
      </c>
      <c r="K22" s="78">
        <f t="shared" si="10"/>
        <v>8012184332.2651701</v>
      </c>
      <c r="L22" s="78">
        <f t="shared" si="10"/>
        <v>6914116285.0589914</v>
      </c>
      <c r="M22" s="78">
        <f t="shared" si="10"/>
        <v>7238739821.5589027</v>
      </c>
      <c r="N22" s="78">
        <f t="shared" si="10"/>
        <v>7973944962.0582228</v>
      </c>
      <c r="O22" s="78">
        <f t="shared" si="10"/>
        <v>7158205964.7056913</v>
      </c>
      <c r="P22" s="78">
        <f t="shared" si="10"/>
        <v>7774080414.5453739</v>
      </c>
      <c r="Q22" s="78">
        <f t="shared" si="10"/>
        <v>8422481904.5294991</v>
      </c>
      <c r="R22" s="78">
        <f t="shared" si="10"/>
        <v>9968159830.068224</v>
      </c>
      <c r="S22" s="78">
        <f t="shared" si="10"/>
        <v>10691513548.571665</v>
      </c>
      <c r="T22" s="78">
        <f t="shared" si="10"/>
        <v>11458454159.765648</v>
      </c>
      <c r="U22" s="78">
        <f t="shared" si="10"/>
        <v>12271569311.791653</v>
      </c>
      <c r="V22" s="78">
        <f t="shared" si="10"/>
        <v>13133602147.516693</v>
      </c>
      <c r="W22" s="78">
        <f t="shared" si="10"/>
        <v>14047459595.381807</v>
      </c>
      <c r="X22" s="78">
        <f t="shared" si="10"/>
        <v>15016221326.847507</v>
      </c>
      <c r="Y22" s="78">
        <f t="shared" si="10"/>
        <v>16043149349.588947</v>
      </c>
      <c r="Z22" s="78">
        <f t="shared" si="10"/>
        <v>17131698227.547638</v>
      </c>
      <c r="AA22" s="78">
        <f t="shared" si="10"/>
        <v>18285525932.757172</v>
      </c>
      <c r="AB22" s="78">
        <f t="shared" si="10"/>
        <v>19508505342.963234</v>
      </c>
      <c r="AC22" s="78">
        <f t="shared" si="10"/>
        <v>20804736405.364647</v>
      </c>
      <c r="AD22" s="78">
        <f t="shared" si="10"/>
        <v>22180458956.927864</v>
      </c>
      <c r="AE22" s="78">
        <f t="shared" si="10"/>
        <v>23636642592.349716</v>
      </c>
      <c r="AF22" s="78">
        <f t="shared" si="10"/>
        <v>25179888648.089989</v>
      </c>
      <c r="AG22" s="78">
        <f t="shared" si="10"/>
        <v>26815342765.745949</v>
      </c>
      <c r="AH22" s="78">
        <f t="shared" si="10"/>
        <v>28548449591.095295</v>
      </c>
      <c r="AI22" s="78">
        <f t="shared" ref="AI22:AV22" si="11">+AI20-AI21</f>
        <v>30384969575.75647</v>
      </c>
      <c r="AJ22" s="78">
        <f t="shared" si="11"/>
        <v>32206515198.639473</v>
      </c>
      <c r="AK22" s="78">
        <f t="shared" si="11"/>
        <v>34136395779.249481</v>
      </c>
      <c r="AL22" s="78">
        <f t="shared" si="11"/>
        <v>36180962959.922829</v>
      </c>
      <c r="AM22" s="78">
        <f t="shared" si="11"/>
        <v>38346932276.663399</v>
      </c>
      <c r="AN22" s="78">
        <f t="shared" si="11"/>
        <v>40641403141.281357</v>
      </c>
      <c r="AO22" s="78">
        <f t="shared" si="11"/>
        <v>43071879838.851295</v>
      </c>
      <c r="AP22" s="78">
        <f t="shared" si="11"/>
        <v>45646293582.876266</v>
      </c>
      <c r="AQ22" s="78">
        <f t="shared" si="11"/>
        <v>48373025671.400459</v>
      </c>
      <c r="AR22" s="78">
        <f t="shared" si="11"/>
        <v>51260931788.038414</v>
      </c>
      <c r="AS22" s="78">
        <f t="shared" si="11"/>
        <v>54319367492.462646</v>
      </c>
      <c r="AT22" s="78">
        <f t="shared" si="11"/>
        <v>57558214945.291687</v>
      </c>
      <c r="AU22" s="78">
        <f t="shared" si="11"/>
        <v>60987910912.521446</v>
      </c>
      <c r="AV22" s="78">
        <f t="shared" si="11"/>
        <v>64619476094.60463</v>
      </c>
      <c r="AW22" s="78"/>
      <c r="AX22" s="78"/>
      <c r="AY22" s="78"/>
      <c r="AZ22" s="78"/>
      <c r="BA22" s="78"/>
      <c r="BB22" s="78"/>
    </row>
    <row r="23" spans="1:54" x14ac:dyDescent="0.25">
      <c r="A23" s="4"/>
      <c r="B23" s="5" t="s">
        <v>3</v>
      </c>
      <c r="C23" s="628" t="s">
        <v>6</v>
      </c>
      <c r="D23" s="81"/>
      <c r="E23" s="81">
        <f t="shared" ref="E23:AH23" si="12">+E10</f>
        <v>1430584778.5821891</v>
      </c>
      <c r="F23" s="81">
        <f t="shared" si="12"/>
        <v>1430584778.5821891</v>
      </c>
      <c r="G23" s="81">
        <f t="shared" si="12"/>
        <v>1430584778.5821891</v>
      </c>
      <c r="H23" s="81">
        <f t="shared" si="12"/>
        <v>1430584778.5821891</v>
      </c>
      <c r="I23" s="81">
        <f t="shared" si="12"/>
        <v>1430584778.5821891</v>
      </c>
      <c r="J23" s="81">
        <f t="shared" si="12"/>
        <v>1430584778.5821891</v>
      </c>
      <c r="K23" s="81">
        <f t="shared" si="12"/>
        <v>1430584778.5821891</v>
      </c>
      <c r="L23" s="81">
        <f t="shared" si="12"/>
        <v>1430584778.5821891</v>
      </c>
      <c r="M23" s="81">
        <f t="shared" si="12"/>
        <v>1430584778.5821891</v>
      </c>
      <c r="N23" s="81">
        <f t="shared" si="12"/>
        <v>1430584778.5821891</v>
      </c>
      <c r="O23" s="81">
        <f t="shared" si="12"/>
        <v>1430584778.5821891</v>
      </c>
      <c r="P23" s="81">
        <f t="shared" si="12"/>
        <v>1430584778.5821891</v>
      </c>
      <c r="Q23" s="81">
        <f t="shared" si="12"/>
        <v>1430584778.5821891</v>
      </c>
      <c r="R23" s="81">
        <f t="shared" si="12"/>
        <v>0</v>
      </c>
      <c r="S23" s="81">
        <f t="shared" si="12"/>
        <v>0</v>
      </c>
      <c r="T23" s="81">
        <f t="shared" si="12"/>
        <v>0</v>
      </c>
      <c r="U23" s="81">
        <f t="shared" si="12"/>
        <v>0</v>
      </c>
      <c r="V23" s="81">
        <f t="shared" si="12"/>
        <v>0</v>
      </c>
      <c r="W23" s="81">
        <f t="shared" si="12"/>
        <v>0</v>
      </c>
      <c r="X23" s="81">
        <f t="shared" si="12"/>
        <v>0</v>
      </c>
      <c r="Y23" s="81">
        <f t="shared" si="12"/>
        <v>0</v>
      </c>
      <c r="Z23" s="81">
        <f t="shared" si="12"/>
        <v>0</v>
      </c>
      <c r="AA23" s="81">
        <f t="shared" si="12"/>
        <v>0</v>
      </c>
      <c r="AB23" s="81">
        <f t="shared" si="12"/>
        <v>0</v>
      </c>
      <c r="AC23" s="81">
        <f t="shared" si="12"/>
        <v>0</v>
      </c>
      <c r="AD23" s="81">
        <f t="shared" si="12"/>
        <v>0</v>
      </c>
      <c r="AE23" s="81">
        <f t="shared" si="12"/>
        <v>0</v>
      </c>
      <c r="AF23" s="81">
        <f t="shared" si="12"/>
        <v>0</v>
      </c>
      <c r="AG23" s="81">
        <f t="shared" si="12"/>
        <v>0</v>
      </c>
      <c r="AH23" s="81">
        <f t="shared" si="12"/>
        <v>0</v>
      </c>
      <c r="AI23" s="81">
        <f t="shared" ref="AI23:AV23" si="13">+AI10</f>
        <v>0</v>
      </c>
      <c r="AJ23" s="81">
        <f t="shared" si="13"/>
        <v>0</v>
      </c>
      <c r="AK23" s="81">
        <f t="shared" si="13"/>
        <v>0</v>
      </c>
      <c r="AL23" s="81">
        <f t="shared" si="13"/>
        <v>0</v>
      </c>
      <c r="AM23" s="81">
        <f t="shared" si="13"/>
        <v>0</v>
      </c>
      <c r="AN23" s="81">
        <f t="shared" si="13"/>
        <v>0</v>
      </c>
      <c r="AO23" s="81">
        <f t="shared" si="13"/>
        <v>0</v>
      </c>
      <c r="AP23" s="81">
        <f t="shared" si="13"/>
        <v>0</v>
      </c>
      <c r="AQ23" s="81">
        <f t="shared" si="13"/>
        <v>0</v>
      </c>
      <c r="AR23" s="81">
        <f t="shared" si="13"/>
        <v>0</v>
      </c>
      <c r="AS23" s="81">
        <f t="shared" si="13"/>
        <v>0</v>
      </c>
      <c r="AT23" s="81">
        <f t="shared" si="13"/>
        <v>0</v>
      </c>
      <c r="AU23" s="81">
        <f t="shared" si="13"/>
        <v>0</v>
      </c>
      <c r="AV23" s="81">
        <f t="shared" si="13"/>
        <v>0</v>
      </c>
      <c r="AW23" s="81"/>
      <c r="AX23" s="81"/>
      <c r="AY23" s="81"/>
      <c r="AZ23" s="81"/>
      <c r="BA23" s="81"/>
      <c r="BB23" s="81"/>
    </row>
    <row r="24" spans="1:54" x14ac:dyDescent="0.25">
      <c r="A24" s="7"/>
      <c r="B24" s="8" t="s">
        <v>3</v>
      </c>
      <c r="C24" s="629" t="s">
        <v>715</v>
      </c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</row>
    <row r="25" spans="1:54" x14ac:dyDescent="0.25">
      <c r="A25" s="7"/>
      <c r="B25" s="8" t="s">
        <v>3</v>
      </c>
      <c r="C25" s="623" t="s">
        <v>716</v>
      </c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</row>
    <row r="26" spans="1:54" x14ac:dyDescent="0.25">
      <c r="A26" s="7"/>
      <c r="B26" s="8" t="s">
        <v>3</v>
      </c>
      <c r="C26" s="623" t="s">
        <v>11</v>
      </c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</row>
    <row r="27" spans="1:54" x14ac:dyDescent="0.25">
      <c r="A27" s="7"/>
      <c r="B27" s="8" t="s">
        <v>3</v>
      </c>
      <c r="C27" s="623" t="s">
        <v>16</v>
      </c>
      <c r="D27" s="83"/>
      <c r="E27" s="83">
        <f>+E19</f>
        <v>0</v>
      </c>
      <c r="F27" s="83">
        <f>+F19</f>
        <v>0</v>
      </c>
      <c r="G27" s="83">
        <f>+G19</f>
        <v>0</v>
      </c>
      <c r="H27" s="83">
        <f>+H19</f>
        <v>0</v>
      </c>
      <c r="I27" s="83">
        <f t="shared" ref="I27:AH27" si="14">+I19</f>
        <v>0</v>
      </c>
      <c r="J27" s="83">
        <f t="shared" si="14"/>
        <v>0</v>
      </c>
      <c r="K27" s="83">
        <f t="shared" si="14"/>
        <v>0</v>
      </c>
      <c r="L27" s="83">
        <f t="shared" si="14"/>
        <v>0</v>
      </c>
      <c r="M27" s="83">
        <f t="shared" si="14"/>
        <v>0</v>
      </c>
      <c r="N27" s="83">
        <f t="shared" si="14"/>
        <v>0</v>
      </c>
      <c r="O27" s="83">
        <f t="shared" si="14"/>
        <v>0</v>
      </c>
      <c r="P27" s="83">
        <f t="shared" si="14"/>
        <v>0</v>
      </c>
      <c r="Q27" s="83">
        <f t="shared" si="14"/>
        <v>0</v>
      </c>
      <c r="R27" s="83">
        <f t="shared" si="14"/>
        <v>0</v>
      </c>
      <c r="S27" s="83">
        <f t="shared" si="14"/>
        <v>0</v>
      </c>
      <c r="T27" s="83">
        <f t="shared" si="14"/>
        <v>0</v>
      </c>
      <c r="U27" s="83">
        <f t="shared" si="14"/>
        <v>0</v>
      </c>
      <c r="V27" s="83">
        <f t="shared" si="14"/>
        <v>0</v>
      </c>
      <c r="W27" s="83">
        <f t="shared" si="14"/>
        <v>0</v>
      </c>
      <c r="X27" s="83">
        <f t="shared" si="14"/>
        <v>0</v>
      </c>
      <c r="Y27" s="83">
        <f t="shared" si="14"/>
        <v>0</v>
      </c>
      <c r="Z27" s="83">
        <f t="shared" si="14"/>
        <v>0</v>
      </c>
      <c r="AA27" s="83">
        <f t="shared" si="14"/>
        <v>0</v>
      </c>
      <c r="AB27" s="83">
        <f t="shared" si="14"/>
        <v>0</v>
      </c>
      <c r="AC27" s="83">
        <f t="shared" si="14"/>
        <v>0</v>
      </c>
      <c r="AD27" s="83">
        <f t="shared" si="14"/>
        <v>0</v>
      </c>
      <c r="AE27" s="83">
        <f t="shared" si="14"/>
        <v>0</v>
      </c>
      <c r="AF27" s="83">
        <f t="shared" si="14"/>
        <v>0</v>
      </c>
      <c r="AG27" s="83">
        <f t="shared" si="14"/>
        <v>0</v>
      </c>
      <c r="AH27" s="83">
        <f t="shared" si="14"/>
        <v>0</v>
      </c>
      <c r="AI27" s="83">
        <f t="shared" ref="AI27:AV27" si="15">+AI19</f>
        <v>0</v>
      </c>
      <c r="AJ27" s="83">
        <f t="shared" si="15"/>
        <v>0</v>
      </c>
      <c r="AK27" s="83">
        <f t="shared" si="15"/>
        <v>0</v>
      </c>
      <c r="AL27" s="83">
        <f t="shared" si="15"/>
        <v>0</v>
      </c>
      <c r="AM27" s="83">
        <f t="shared" si="15"/>
        <v>0</v>
      </c>
      <c r="AN27" s="83">
        <f t="shared" si="15"/>
        <v>0</v>
      </c>
      <c r="AO27" s="83">
        <f t="shared" si="15"/>
        <v>0</v>
      </c>
      <c r="AP27" s="83">
        <f t="shared" si="15"/>
        <v>0</v>
      </c>
      <c r="AQ27" s="83">
        <f t="shared" si="15"/>
        <v>0</v>
      </c>
      <c r="AR27" s="83">
        <f t="shared" si="15"/>
        <v>0</v>
      </c>
      <c r="AS27" s="83">
        <f t="shared" si="15"/>
        <v>0</v>
      </c>
      <c r="AT27" s="83">
        <f t="shared" si="15"/>
        <v>0</v>
      </c>
      <c r="AU27" s="83">
        <f t="shared" si="15"/>
        <v>0</v>
      </c>
      <c r="AV27" s="83">
        <f t="shared" si="15"/>
        <v>0</v>
      </c>
      <c r="AW27" s="83"/>
      <c r="AX27" s="83"/>
      <c r="AY27" s="83"/>
      <c r="AZ27" s="83"/>
      <c r="BA27" s="83"/>
      <c r="BB27" s="83"/>
    </row>
    <row r="28" spans="1:54" x14ac:dyDescent="0.25">
      <c r="A28" s="7"/>
      <c r="B28" s="100" t="s">
        <v>88</v>
      </c>
      <c r="C28" s="630" t="s">
        <v>717</v>
      </c>
      <c r="D28" s="83">
        <f>+'Dep y Dif ACTUALMENTE'!C16</f>
        <v>0</v>
      </c>
      <c r="E28" s="83">
        <f>+'Dep y Dif ACTUALMENTE'!D16</f>
        <v>615460231.5179013</v>
      </c>
      <c r="F28" s="83">
        <f>+'Dep y Dif ACTUALMENTE'!E16</f>
        <v>109574479.56308758</v>
      </c>
      <c r="G28" s="83">
        <f>+'Dep y Dif ACTUALMENTE'!F16</f>
        <v>138963181.71117115</v>
      </c>
      <c r="H28" s="83">
        <f>+'Dep y Dif ACTUALMENTE'!G16</f>
        <v>183980994.28642964</v>
      </c>
      <c r="I28" s="83">
        <f>+'Dep y Dif ACTUALMENTE'!H16</f>
        <v>-47077331.753014207</v>
      </c>
      <c r="J28" s="83">
        <f>+'Dep y Dif ACTUALMENTE'!I16</f>
        <v>-98040058.136391997</v>
      </c>
      <c r="K28" s="83">
        <f>+'Dep y Dif ACTUALMENTE'!J16</f>
        <v>65295638.674454331</v>
      </c>
      <c r="L28" s="83">
        <f>+'Dep y Dif ACTUALMENTE'!K16</f>
        <v>-103871192.86681294</v>
      </c>
      <c r="M28" s="83">
        <f>+'Dep y Dif ACTUALMENTE'!L16</f>
        <v>26959528.242878795</v>
      </c>
      <c r="N28" s="83">
        <f>+'Dep y Dif ACTUALMENTE'!M16</f>
        <v>64624070.609064221</v>
      </c>
      <c r="O28" s="83">
        <f>+'Dep y Dif ACTUALMENTE'!N16</f>
        <v>-77715556.951174736</v>
      </c>
      <c r="P28" s="83">
        <f>+'Dep y Dif ACTUALMENTE'!O16</f>
        <v>48551970.862499237</v>
      </c>
      <c r="Q28" s="83">
        <f>+'Dep y Dif ACTUALMENTE'!P16</f>
        <v>73623313.558001876</v>
      </c>
      <c r="R28" s="83">
        <f>+'Dep y Dif ACTUALMENTE'!Q16</f>
        <v>57524636.603891015</v>
      </c>
      <c r="S28" s="83">
        <f>+'Dep y Dif ACTUALMENTE'!R16</f>
        <v>64406475.733594537</v>
      </c>
      <c r="T28" s="83">
        <f>+'Dep y Dif ACTUALMENTE'!S16</f>
        <v>68328291.637384892</v>
      </c>
      <c r="U28" s="83">
        <f>+'Dep y Dif ACTUALMENTE'!T16</f>
        <v>72488928.898727417</v>
      </c>
      <c r="V28" s="83">
        <f>+'Dep y Dif ACTUALMENTE'!U16</f>
        <v>76902931.186906099</v>
      </c>
      <c r="W28" s="83">
        <f>+'Dep y Dif ACTUALMENTE'!V16</f>
        <v>81585727.863017797</v>
      </c>
      <c r="X28" s="83">
        <f>+'Dep y Dif ACTUALMENTE'!W16</f>
        <v>86553687.918044329</v>
      </c>
      <c r="Y28" s="83">
        <f>+'Dep y Dif ACTUALMENTE'!X16</f>
        <v>91824177.195723295</v>
      </c>
      <c r="Z28" s="83">
        <f>+'Dep y Dif ACTUALMENTE'!Y16</f>
        <v>97415619.100283384</v>
      </c>
      <c r="AA28" s="83">
        <f>+'Dep y Dif ACTUALMENTE'!Z16</f>
        <v>103347559.00125837</v>
      </c>
      <c r="AB28" s="83">
        <f>+'Dep y Dif ACTUALMENTE'!AA16</f>
        <v>109640732.56053162</v>
      </c>
      <c r="AC28" s="83">
        <f>+'Dep y Dif ACTUALMENTE'!AB16</f>
        <v>116317138.22047877</v>
      </c>
      <c r="AD28" s="83">
        <f>+'Dep y Dif ACTUALMENTE'!AC16</f>
        <v>123400114.10662198</v>
      </c>
      <c r="AE28" s="83">
        <f>+'Dep y Dif ACTUALMENTE'!AD16</f>
        <v>130914419.61362314</v>
      </c>
      <c r="AF28" s="83">
        <f>+'Dep y Dif ACTUALMENTE'!AE16</f>
        <v>138886321.95985413</v>
      </c>
      <c r="AG28" s="83">
        <f>+'Dep y Dif ACTUALMENTE'!AF16</f>
        <v>147343688.0131073</v>
      </c>
      <c r="AH28" s="83">
        <f>+'Dep y Dif ACTUALMENTE'!AG16</f>
        <v>156316081.70847178</v>
      </c>
      <c r="AI28" s="83">
        <f>+'Dep y Dif ACTUALMENTE'!AH16</f>
        <v>0</v>
      </c>
      <c r="AJ28" s="83">
        <f>+'Dep y Dif ACTUALMENTE'!AI16</f>
        <v>0</v>
      </c>
      <c r="AK28" s="83">
        <f>+'Dep y Dif ACTUALMENTE'!AJ16</f>
        <v>0</v>
      </c>
      <c r="AL28" s="83">
        <f>+'Dep y Dif ACTUALMENTE'!AK16</f>
        <v>0</v>
      </c>
      <c r="AM28" s="83">
        <f>+'Dep y Dif ACTUALMENTE'!AL16</f>
        <v>0</v>
      </c>
      <c r="AN28" s="83">
        <f>+'Dep y Dif ACTUALMENTE'!AM16</f>
        <v>0</v>
      </c>
      <c r="AO28" s="83">
        <f>+'Dep y Dif ACTUALMENTE'!AN16</f>
        <v>0</v>
      </c>
      <c r="AP28" s="83">
        <f>+'Dep y Dif ACTUALMENTE'!AO16</f>
        <v>0</v>
      </c>
      <c r="AQ28" s="83">
        <f>+'Dep y Dif ACTUALMENTE'!AP16</f>
        <v>0</v>
      </c>
      <c r="AR28" s="83">
        <f>+'Dep y Dif ACTUALMENTE'!AQ16</f>
        <v>0</v>
      </c>
      <c r="AS28" s="83">
        <f>+'Dep y Dif ACTUALMENTE'!AR16</f>
        <v>0</v>
      </c>
      <c r="AT28" s="83">
        <f>+'Dep y Dif ACTUALMENTE'!AS16</f>
        <v>0</v>
      </c>
      <c r="AU28" s="83">
        <f>+'Dep y Dif ACTUALMENTE'!AT16</f>
        <v>0</v>
      </c>
      <c r="AV28" s="83">
        <f>+'Dep y Dif ACTUALMENTE'!AU16</f>
        <v>0</v>
      </c>
      <c r="AW28" s="83"/>
      <c r="AX28" s="83"/>
      <c r="AY28" s="83"/>
      <c r="AZ28" s="83"/>
      <c r="BA28" s="83"/>
      <c r="BB28" s="83"/>
    </row>
    <row r="29" spans="1:54" x14ac:dyDescent="0.25">
      <c r="A29" s="7"/>
      <c r="B29" s="12"/>
      <c r="C29" s="62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</row>
    <row r="30" spans="1:54" x14ac:dyDescent="0.25">
      <c r="A30" s="7"/>
      <c r="B30" s="12"/>
      <c r="C30" s="62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</row>
    <row r="31" spans="1:54" x14ac:dyDescent="0.25">
      <c r="A31" s="7"/>
      <c r="B31" s="8" t="s">
        <v>4</v>
      </c>
      <c r="C31" s="623" t="s">
        <v>718</v>
      </c>
      <c r="D31" s="83">
        <f>IF($A$36=0,ACTUALMENTE!C15,IF($A$36=1,REEMPLAZO!C15,REFURBISHMENT!C15))</f>
        <v>18403932915.68</v>
      </c>
      <c r="E31" s="83">
        <f>IF($A$36=0,ACTUALMENTE!D15,IF($A$36=1,REEMPLAZO!D15,REFURBISHMENT!D15))</f>
        <v>527100523.81080896</v>
      </c>
      <c r="F31" s="83">
        <f>IF($A$36=0,ACTUALMENTE!E15,IF($A$36=1,REEMPLAZO!E15,REFURBISHMENT!E15))</f>
        <v>542198757.85022259</v>
      </c>
      <c r="G31" s="83">
        <f>IF($A$36=0,ACTUALMENTE!F15,IF($A$36=1,REEMPLAZO!F15,REFURBISHMENT!F15))</f>
        <v>575381321.83065605</v>
      </c>
      <c r="H31" s="83">
        <f>IF($A$36=0,ACTUALMENTE!G15,IF($A$36=1,REEMPLAZO!G15,REFURBISHMENT!G15))</f>
        <v>610594658.7266922</v>
      </c>
      <c r="I31" s="83">
        <f>IF($A$36=0,ACTUALMENTE!H15,IF($A$36=1,REEMPLAZO!H15,REFURBISHMENT!H15))</f>
        <v>647963051.84076548</v>
      </c>
      <c r="J31" s="83">
        <f>IF($A$36=0,ACTUALMENTE!I15,IF($A$36=1,REEMPLAZO!I15,REFURBISHMENT!I15))</f>
        <v>687618390.61342049</v>
      </c>
      <c r="K31" s="83">
        <f>IF($A$36=0,ACTUALMENTE!J15,IF($A$36=1,REEMPLAZO!J15,REFURBISHMENT!J15))</f>
        <v>729700636.11896181</v>
      </c>
      <c r="L31" s="83">
        <f>IF($A$36=0,ACTUALMENTE!K15,IF($A$36=1,REEMPLAZO!K15,REFURBISHMENT!K15))</f>
        <v>785888514.04944229</v>
      </c>
      <c r="M31" s="83">
        <f>IF($A$36=0,ACTUALMENTE!L15,IF($A$36=1,REEMPLAZO!L15,REFURBISHMENT!L15))</f>
        <v>821749043.93046856</v>
      </c>
      <c r="N31" s="83">
        <f>IF($A$36=0,ACTUALMENTE!M15,IF($A$36=1,REEMPLAZO!M15,REFURBISHMENT!M15))</f>
        <v>2008317103.0090129</v>
      </c>
      <c r="O31" s="83">
        <f>IF($A$36=0,ACTUALMENTE!N15,IF($A$36=1,REEMPLAZO!N15,REFURBISHMENT!N15))</f>
        <v>1268781302.2466569</v>
      </c>
      <c r="P31" s="83">
        <f>IF($A$36=0,ACTUALMENTE!O15,IF($A$36=1,REEMPLAZO!O15,REFURBISHMENT!O15))</f>
        <v>1011146537.1618321</v>
      </c>
      <c r="Q31" s="83">
        <f>IF($A$36=0,ACTUALMENTE!P15,IF($A$36=1,REEMPLAZO!P15,REFURBISHMENT!P15))</f>
        <v>2438704310.3921723</v>
      </c>
      <c r="R31" s="83">
        <f>IF($A$36=0,ACTUALMENTE!Q15,IF($A$36=1,REEMPLAZO!Q15,REFURBISHMENT!Q15))</f>
        <v>1105924333.8433733</v>
      </c>
      <c r="S31" s="83">
        <f>IF($A$36=0,ACTUALMENTE!R15,IF($A$36=1,REEMPLAZO!R15,REFURBISHMENT!R15))</f>
        <v>1173606903.0745878</v>
      </c>
      <c r="T31" s="83">
        <f>IF($A$36=0,ACTUALMENTE!S15,IF($A$36=1,REEMPLAZO!S15,REFURBISHMENT!S15))</f>
        <v>1245431645.5427525</v>
      </c>
      <c r="U31" s="83">
        <f>IF($A$36=0,ACTUALMENTE!T15,IF($A$36=1,REEMPLAZO!T15,REFURBISHMENT!T15))</f>
        <v>1321652062.249969</v>
      </c>
      <c r="V31" s="83">
        <f>IF($A$36=0,ACTUALMENTE!U15,IF($A$36=1,REEMPLAZO!U15,REFURBISHMENT!U15))</f>
        <v>1402537168.459667</v>
      </c>
      <c r="W31" s="83">
        <f>IF($A$36=0,ACTUALMENTE!V15,IF($A$36=1,REEMPLAZO!V15,REFURBISHMENT!V15))</f>
        <v>1488372443.1693988</v>
      </c>
      <c r="X31" s="83">
        <f>IF($A$36=0,ACTUALMENTE!W15,IF($A$36=1,REEMPLAZO!W15,REFURBISHMENT!W15))</f>
        <v>1579460836.691366</v>
      </c>
      <c r="Y31" s="83">
        <f>IF($A$36=0,ACTUALMENTE!X15,IF($A$36=1,REEMPLAZO!X15,REFURBISHMENT!X15))</f>
        <v>1676123839.8968775</v>
      </c>
      <c r="Z31" s="83">
        <f>IF($A$36=0,ACTUALMENTE!Y15,IF($A$36=1,REEMPLAZO!Y15,REFURBISHMENT!Y15))</f>
        <v>1778702618.8985662</v>
      </c>
      <c r="AA31" s="83">
        <f>IF($A$36=0,ACTUALMENTE!Z15,IF($A$36=1,REEMPLAZO!Z15,REFURBISHMENT!Z15))</f>
        <v>1887559219.1751585</v>
      </c>
      <c r="AB31" s="83">
        <f>IF($A$36=0,ACTUALMENTE!AA15,IF($A$36=1,REEMPLAZO!AA15,REFURBISHMENT!AA15))</f>
        <v>2003077843.3886783</v>
      </c>
      <c r="AC31" s="83">
        <f>IF($A$36=0,ACTUALMENTE!AB15,IF($A$36=1,REEMPLAZO!AB15,REFURBISHMENT!AB15))</f>
        <v>2125666207.4040656</v>
      </c>
      <c r="AD31" s="83">
        <f>IF($A$36=0,ACTUALMENTE!AC15,IF($A$36=1,REEMPLAZO!AC15,REFURBISHMENT!AC15))</f>
        <v>2255756979.2971945</v>
      </c>
      <c r="AE31" s="83">
        <f>IF($A$36=0,ACTUALMENTE!AD15,IF($A$36=1,REEMPLAZO!AD15,REFURBISHMENT!AD15))</f>
        <v>2393809306.4301825</v>
      </c>
      <c r="AF31" s="83">
        <f>IF($A$36=0,ACTUALMENTE!AE15,IF($A$36=1,REEMPLAZO!AE15,REFURBISHMENT!AE15))</f>
        <v>2540310435.9837098</v>
      </c>
      <c r="AG31" s="83">
        <f>IF($A$36=0,ACTUALMENTE!AF15,IF($A$36=1,REEMPLAZO!AF15,REFURBISHMENT!AF15))</f>
        <v>2695777434.6659126</v>
      </c>
      <c r="AH31" s="83">
        <f>IF($A$36=0,ACTUALMENTE!AG15,IF($A$36=1,REEMPLAZO!AG15,REFURBISHMENT!AG15))</f>
        <v>2860759013.6674666</v>
      </c>
      <c r="AI31" s="83">
        <f>IF($A$36=0,ACTUALMENTE!AH15,IF($A$36=1,REEMPLAZO!AH15,REFURBISHMENT!AH15))</f>
        <v>0</v>
      </c>
      <c r="AJ31" s="83">
        <f>IF($A$36=0,ACTUALMENTE!AI15,IF($A$36=1,REEMPLAZO!AI15,REFURBISHMENT!AI15))</f>
        <v>0</v>
      </c>
      <c r="AK31" s="83">
        <f>IF($A$36=0,ACTUALMENTE!AJ15,IF($A$36=1,REEMPLAZO!AJ15,REFURBISHMENT!AJ15))</f>
        <v>0</v>
      </c>
      <c r="AL31" s="83">
        <f>IF($A$36=0,ACTUALMENTE!AK15,IF($A$36=1,REEMPLAZO!AK15,REFURBISHMENT!AK15))</f>
        <v>0</v>
      </c>
      <c r="AM31" s="83">
        <f>IF($A$36=0,ACTUALMENTE!AL15,IF($A$36=1,REEMPLAZO!AL15,REFURBISHMENT!AL15))</f>
        <v>0</v>
      </c>
      <c r="AN31" s="83">
        <f>IF($A$36=0,ACTUALMENTE!AM15,IF($A$36=1,REEMPLAZO!AM15,REFURBISHMENT!AM15))</f>
        <v>0</v>
      </c>
      <c r="AO31" s="83">
        <f>IF($A$36=0,ACTUALMENTE!AN15,IF($A$36=1,REEMPLAZO!AN15,REFURBISHMENT!AN15))</f>
        <v>0</v>
      </c>
      <c r="AP31" s="83">
        <f>IF($A$36=0,ACTUALMENTE!AO15,IF($A$36=1,REEMPLAZO!AO15,REFURBISHMENT!AO15))</f>
        <v>0</v>
      </c>
      <c r="AQ31" s="83">
        <f>IF($A$36=0,ACTUALMENTE!AP15,IF($A$36=1,REEMPLAZO!AP15,REFURBISHMENT!AP15))</f>
        <v>0</v>
      </c>
      <c r="AR31" s="83">
        <f>IF($A$36=0,ACTUALMENTE!AQ15,IF($A$36=1,REEMPLAZO!AQ15,REFURBISHMENT!AQ15))</f>
        <v>0</v>
      </c>
      <c r="AS31" s="83">
        <f>IF($A$36=0,ACTUALMENTE!AR15,IF($A$36=1,REEMPLAZO!AR15,REFURBISHMENT!AR15))</f>
        <v>0</v>
      </c>
      <c r="AT31" s="83">
        <f>IF($A$36=0,ACTUALMENTE!AS15,IF($A$36=1,REEMPLAZO!AS15,REFURBISHMENT!AS15))</f>
        <v>0</v>
      </c>
      <c r="AU31" s="83">
        <f>IF($A$36=0,ACTUALMENTE!AT15,IF($A$36=1,REEMPLAZO!AT15,REFURBISHMENT!AT15))</f>
        <v>0</v>
      </c>
      <c r="AV31" s="83">
        <f>IF($A$36=0,ACTUALMENTE!AU15,IF($A$36=1,REEMPLAZO!AU15,REFURBISHMENT!AU15))</f>
        <v>0</v>
      </c>
      <c r="AW31" s="83"/>
      <c r="AX31" s="83"/>
      <c r="AY31" s="83"/>
      <c r="AZ31" s="83"/>
      <c r="BA31" s="83"/>
      <c r="BB31" s="83"/>
    </row>
    <row r="32" spans="1:54" x14ac:dyDescent="0.25">
      <c r="A32" s="7"/>
      <c r="B32" s="8" t="s">
        <v>3</v>
      </c>
      <c r="C32" s="623" t="s">
        <v>21</v>
      </c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</row>
    <row r="33" spans="1:54" ht="15.75" thickBot="1" x14ac:dyDescent="0.3">
      <c r="A33" s="9"/>
      <c r="B33" s="10" t="s">
        <v>7</v>
      </c>
      <c r="C33" s="625" t="s">
        <v>22</v>
      </c>
      <c r="D33" s="85">
        <f>+D22+D23+D24+D25+D26+D27-D28-D29+D30-D31+D32</f>
        <v>-18403932915.68</v>
      </c>
      <c r="E33" s="85">
        <f>+E22+E23+E24+E25+E26+E27-E28-E29+E30-E31+E32</f>
        <v>4322822245.0394249</v>
      </c>
      <c r="F33" s="85">
        <f>+F22+F23+F24+F25+F26+F27-F28-F29+F30-F31+F32</f>
        <v>6024640580.4055643</v>
      </c>
      <c r="G33" s="85">
        <f>+G22+G23+G24+G25+G26+G27-G28-G29+G30-G31+G32</f>
        <v>7493543062.7500944</v>
      </c>
      <c r="H33" s="85">
        <f>+H22+H23+H24+H25+H26+H27-H28-H29+H30-H31+H32</f>
        <v>9435044330.4979687</v>
      </c>
      <c r="I33" s="85">
        <f t="shared" ref="I33:AH33" si="16">+I22+I23+I24+I25+I26+I27-I28-I29+I30-I31+I32</f>
        <v>9142586348.0881214</v>
      </c>
      <c r="J33" s="85">
        <f t="shared" si="16"/>
        <v>8115808232.3923321</v>
      </c>
      <c r="K33" s="85">
        <f t="shared" si="16"/>
        <v>8647772836.0539436</v>
      </c>
      <c r="L33" s="85">
        <f t="shared" si="16"/>
        <v>7662683742.4585505</v>
      </c>
      <c r="M33" s="85">
        <f t="shared" si="16"/>
        <v>7820616027.9677458</v>
      </c>
      <c r="N33" s="85">
        <f t="shared" si="16"/>
        <v>7331588567.0223341</v>
      </c>
      <c r="O33" s="85">
        <f t="shared" si="16"/>
        <v>7397724997.9923992</v>
      </c>
      <c r="P33" s="85">
        <f t="shared" si="16"/>
        <v>8144966685.1032324</v>
      </c>
      <c r="Q33" s="102">
        <f t="shared" si="16"/>
        <v>7340739059.1615143</v>
      </c>
      <c r="R33" s="85">
        <f t="shared" si="16"/>
        <v>8804710859.6209602</v>
      </c>
      <c r="S33" s="85">
        <f t="shared" si="16"/>
        <v>9453500169.7634811</v>
      </c>
      <c r="T33" s="85">
        <f t="shared" si="16"/>
        <v>10144694222.58551</v>
      </c>
      <c r="U33" s="85">
        <f t="shared" si="16"/>
        <v>10877428320.642956</v>
      </c>
      <c r="V33" s="85">
        <f t="shared" si="16"/>
        <v>11654162047.870119</v>
      </c>
      <c r="W33" s="85">
        <f t="shared" si="16"/>
        <v>12477501424.34939</v>
      </c>
      <c r="X33" s="85">
        <f t="shared" si="16"/>
        <v>13350206802.238096</v>
      </c>
      <c r="Y33" s="85">
        <f t="shared" si="16"/>
        <v>14275201332.496347</v>
      </c>
      <c r="Z33" s="85">
        <f t="shared" si="16"/>
        <v>15255579989.54879</v>
      </c>
      <c r="AA33" s="85">
        <f t="shared" si="16"/>
        <v>16294619154.580753</v>
      </c>
      <c r="AB33" s="85">
        <f t="shared" si="16"/>
        <v>17395786767.014023</v>
      </c>
      <c r="AC33" s="85">
        <f t="shared" si="16"/>
        <v>18562753059.740105</v>
      </c>
      <c r="AD33" s="85">
        <f t="shared" si="16"/>
        <v>19801301863.524048</v>
      </c>
      <c r="AE33" s="85">
        <f t="shared" si="16"/>
        <v>21111918866.305908</v>
      </c>
      <c r="AF33" s="85">
        <f t="shared" si="16"/>
        <v>22500691890.146423</v>
      </c>
      <c r="AG33" s="85">
        <f t="shared" si="16"/>
        <v>23972221643.066929</v>
      </c>
      <c r="AH33" s="85">
        <f t="shared" si="16"/>
        <v>25531374495.719357</v>
      </c>
      <c r="AI33" s="85">
        <f t="shared" ref="AI33:AV33" si="17">+AI22+AI23+AI24+AI25+AI26+AI27-AI28-AI29+AI30-AI31+AI32</f>
        <v>30384969575.75647</v>
      </c>
      <c r="AJ33" s="85">
        <f t="shared" si="17"/>
        <v>32206515198.639473</v>
      </c>
      <c r="AK33" s="85">
        <f t="shared" si="17"/>
        <v>34136395779.249481</v>
      </c>
      <c r="AL33" s="85">
        <f t="shared" si="17"/>
        <v>36180962959.922829</v>
      </c>
      <c r="AM33" s="85">
        <f t="shared" si="17"/>
        <v>38346932276.663399</v>
      </c>
      <c r="AN33" s="85">
        <f t="shared" si="17"/>
        <v>40641403141.281357</v>
      </c>
      <c r="AO33" s="85">
        <f t="shared" si="17"/>
        <v>43071879838.851295</v>
      </c>
      <c r="AP33" s="85">
        <f t="shared" si="17"/>
        <v>45646293582.876266</v>
      </c>
      <c r="AQ33" s="85">
        <f t="shared" si="17"/>
        <v>48373025671.400459</v>
      </c>
      <c r="AR33" s="85">
        <f t="shared" si="17"/>
        <v>51260931788.038414</v>
      </c>
      <c r="AS33" s="85">
        <f t="shared" si="17"/>
        <v>54319367492.462646</v>
      </c>
      <c r="AT33" s="85">
        <f t="shared" si="17"/>
        <v>57558214945.291687</v>
      </c>
      <c r="AU33" s="85">
        <f t="shared" si="17"/>
        <v>60987910912.521446</v>
      </c>
      <c r="AV33" s="85">
        <f t="shared" si="17"/>
        <v>64619476094.60463</v>
      </c>
      <c r="AW33" s="85"/>
      <c r="AX33" s="85"/>
      <c r="AY33" s="85"/>
      <c r="AZ33" s="85"/>
      <c r="BA33" s="85"/>
      <c r="BB33" s="85"/>
    </row>
    <row r="35" spans="1:54" ht="15.75" thickBot="1" x14ac:dyDescent="0.3">
      <c r="A35" s="20"/>
      <c r="B35" s="21"/>
      <c r="C35" s="631"/>
    </row>
    <row r="36" spans="1:54" x14ac:dyDescent="0.25">
      <c r="A36">
        <v>0</v>
      </c>
      <c r="C36" s="632" t="str">
        <f>+IF(A36&gt;0,(IF(A36=1,"Cambia","Renueva")),"Mantiene")</f>
        <v>Mantiene</v>
      </c>
      <c r="D36" s="420" t="s">
        <v>27</v>
      </c>
      <c r="E36" s="421">
        <v>9.0499999999999997E-2</v>
      </c>
      <c r="F36" s="422"/>
      <c r="G36" s="423"/>
    </row>
    <row r="37" spans="1:54" x14ac:dyDescent="0.25">
      <c r="D37" s="424" t="s">
        <v>25</v>
      </c>
      <c r="E37" s="418">
        <f>IF(A36=0,NPV(E36,E33:AH33)+D33,IF(A36=1,+NPV(E36,E33:AV33)+D33,+NPV(E36,E33:AH33)+D33))</f>
        <v>75656155855.707794</v>
      </c>
      <c r="F37" s="26"/>
      <c r="G37" s="425"/>
    </row>
    <row r="38" spans="1:54" x14ac:dyDescent="0.25">
      <c r="D38" s="424" t="s">
        <v>26</v>
      </c>
      <c r="E38" s="65">
        <f>IF(A36=0,+IRR(D33:AH33),IF(A36=1,+IRR(D33:AV33),+IRR(D33:AH33)))</f>
        <v>0.37083621699138969</v>
      </c>
      <c r="F38" s="419" t="str">
        <f>+IF(E38=E36,"Es indiferente",IF(E38&lt;E36,"SE RECHAZA EL PROYECTO","SE ACEPTA EL PROYECTO TIR&gt;TIO"))</f>
        <v>SE ACEPTA EL PROYECTO TIR&gt;TIO</v>
      </c>
      <c r="G38" s="425"/>
    </row>
    <row r="39" spans="1:54" ht="15.75" thickBot="1" x14ac:dyDescent="0.3">
      <c r="D39" s="426" t="s">
        <v>39</v>
      </c>
      <c r="E39" s="427">
        <f>IF(A36=0,+MIRR(D33:AH33,E36,E36),IF(A36=1,+MIRR(D33:AV33,E36,E36),+MIRR(D33:AH33,E36,E36)))</f>
        <v>0.15144225082623208</v>
      </c>
      <c r="F39" s="428"/>
      <c r="G39" s="429"/>
    </row>
    <row r="40" spans="1:54" x14ac:dyDescent="0.25">
      <c r="A40" s="20"/>
      <c r="B40" s="21"/>
      <c r="C40" s="631"/>
    </row>
    <row r="41" spans="1:54" x14ac:dyDescent="0.25">
      <c r="A41" s="20"/>
      <c r="B41" s="21"/>
      <c r="C41" s="631"/>
    </row>
    <row r="47" spans="1:54" x14ac:dyDescent="0.25">
      <c r="E47" s="101"/>
    </row>
    <row r="49" spans="3:54" x14ac:dyDescent="0.25">
      <c r="D49" s="1" t="s">
        <v>100</v>
      </c>
      <c r="E49" s="1">
        <f>(ABS(D33)-('Dep y Dif ACTUALMENTE'!AG12)/(1+E36)^28+G13/(1+E36)+H13/(1+E36)^2+I13/(1+E36)^3+J13/(1+E36)^4+K13/(1+E36)^5+L13/(1+E36)^6+M13/(1+E36)^7+N13/(1+E36)^8+O13/(1+E36)^9+P13/(1+E36)^10+Q13/(1+E36)^11+R13/(1+E36)^12+S13/(1+E36)^13+T13/(1+E36)^14+U13/(1+E36)^15+V13/(1+E36)^16+W13/(1+E36)^17+X13/(1+E36)^18+Y13/(1+E36)^19+Z13/(1+E36)^20+AA13/(1+E36)^21+AB13/(1+E36)^22+AC13/(1+E36)^23+AD13/(1+E36)^24+AE13/(1+E36)^25+AF13/(1+E36)^26+AG13/(1+E36)^27+AH13/(1+E36)^28)*(E36/(1-(1+E36)^(-28)))</f>
        <v>1922923993.9413238</v>
      </c>
      <c r="F49" s="1">
        <f>-PMT(E36,AH6,F45)</f>
        <v>0</v>
      </c>
    </row>
    <row r="51" spans="3:54" x14ac:dyDescent="0.25">
      <c r="C51" s="555" t="s">
        <v>719</v>
      </c>
      <c r="D51" s="1">
        <f>+D31</f>
        <v>18403932915.68</v>
      </c>
      <c r="E51" s="1">
        <f>+E31</f>
        <v>527100523.81080896</v>
      </c>
      <c r="F51" s="1">
        <f t="shared" ref="F51:BB51" si="18">+F31</f>
        <v>542198757.85022259</v>
      </c>
      <c r="G51" s="1">
        <f t="shared" si="18"/>
        <v>575381321.83065605</v>
      </c>
      <c r="H51" s="1">
        <f t="shared" si="18"/>
        <v>610594658.7266922</v>
      </c>
      <c r="I51" s="1">
        <f t="shared" si="18"/>
        <v>647963051.84076548</v>
      </c>
      <c r="J51" s="1">
        <f t="shared" si="18"/>
        <v>687618390.61342049</v>
      </c>
      <c r="K51" s="1">
        <f t="shared" si="18"/>
        <v>729700636.11896181</v>
      </c>
      <c r="L51" s="1">
        <f t="shared" si="18"/>
        <v>785888514.04944229</v>
      </c>
      <c r="M51" s="1">
        <f t="shared" si="18"/>
        <v>821749043.93046856</v>
      </c>
      <c r="N51" s="1">
        <f t="shared" si="18"/>
        <v>2008317103.0090129</v>
      </c>
      <c r="O51" s="1">
        <f t="shared" si="18"/>
        <v>1268781302.2466569</v>
      </c>
      <c r="P51" s="1">
        <f t="shared" si="18"/>
        <v>1011146537.1618321</v>
      </c>
      <c r="Q51" s="1">
        <f t="shared" si="18"/>
        <v>2438704310.3921723</v>
      </c>
      <c r="R51" s="1">
        <f t="shared" si="18"/>
        <v>1105924333.8433733</v>
      </c>
      <c r="S51" s="1">
        <f t="shared" si="18"/>
        <v>1173606903.0745878</v>
      </c>
      <c r="T51" s="1">
        <f t="shared" si="18"/>
        <v>1245431645.5427525</v>
      </c>
      <c r="U51" s="1">
        <f t="shared" si="18"/>
        <v>1321652062.249969</v>
      </c>
      <c r="V51" s="1">
        <f t="shared" si="18"/>
        <v>1402537168.459667</v>
      </c>
      <c r="W51" s="1">
        <f t="shared" si="18"/>
        <v>1488372443.1693988</v>
      </c>
      <c r="X51" s="1">
        <f t="shared" si="18"/>
        <v>1579460836.691366</v>
      </c>
      <c r="Y51" s="1">
        <f t="shared" si="18"/>
        <v>1676123839.8968775</v>
      </c>
      <c r="Z51" s="1">
        <f t="shared" si="18"/>
        <v>1778702618.8985662</v>
      </c>
      <c r="AA51" s="1">
        <f t="shared" si="18"/>
        <v>1887559219.1751585</v>
      </c>
      <c r="AB51" s="1">
        <f t="shared" si="18"/>
        <v>2003077843.3886783</v>
      </c>
      <c r="AC51" s="1">
        <f t="shared" si="18"/>
        <v>2125666207.4040656</v>
      </c>
      <c r="AD51" s="1">
        <f t="shared" si="18"/>
        <v>2255756979.2971945</v>
      </c>
      <c r="AE51" s="1">
        <f t="shared" si="18"/>
        <v>2393809306.4301825</v>
      </c>
      <c r="AF51" s="1">
        <f t="shared" si="18"/>
        <v>2540310435.9837098</v>
      </c>
      <c r="AG51" s="1">
        <f t="shared" si="18"/>
        <v>2695777434.6659126</v>
      </c>
      <c r="AH51" s="1">
        <f t="shared" si="18"/>
        <v>2860759013.6674666</v>
      </c>
      <c r="AI51" s="1">
        <f t="shared" si="18"/>
        <v>0</v>
      </c>
      <c r="AJ51" s="1">
        <f t="shared" si="18"/>
        <v>0</v>
      </c>
      <c r="AK51" s="1">
        <f t="shared" si="18"/>
        <v>0</v>
      </c>
      <c r="AL51" s="1">
        <f t="shared" si="18"/>
        <v>0</v>
      </c>
      <c r="AM51" s="1">
        <f t="shared" si="18"/>
        <v>0</v>
      </c>
      <c r="AN51" s="1">
        <f t="shared" si="18"/>
        <v>0</v>
      </c>
      <c r="AO51" s="1">
        <f t="shared" si="18"/>
        <v>0</v>
      </c>
      <c r="AP51" s="1">
        <f t="shared" si="18"/>
        <v>0</v>
      </c>
      <c r="AQ51" s="1">
        <f t="shared" si="18"/>
        <v>0</v>
      </c>
      <c r="AR51" s="1">
        <f t="shared" si="18"/>
        <v>0</v>
      </c>
      <c r="AS51" s="1">
        <f t="shared" si="18"/>
        <v>0</v>
      </c>
      <c r="AT51" s="1">
        <f t="shared" si="18"/>
        <v>0</v>
      </c>
      <c r="AU51" s="1">
        <f t="shared" si="18"/>
        <v>0</v>
      </c>
      <c r="AV51" s="1">
        <f t="shared" si="18"/>
        <v>0</v>
      </c>
      <c r="AW51" s="1">
        <f t="shared" si="18"/>
        <v>0</v>
      </c>
      <c r="AX51" s="1">
        <f t="shared" si="18"/>
        <v>0</v>
      </c>
      <c r="AY51" s="1">
        <f t="shared" si="18"/>
        <v>0</v>
      </c>
      <c r="AZ51" s="1">
        <f t="shared" si="18"/>
        <v>0</v>
      </c>
      <c r="BA51" s="1">
        <f t="shared" si="18"/>
        <v>0</v>
      </c>
      <c r="BB51" s="1">
        <f t="shared" si="18"/>
        <v>0</v>
      </c>
    </row>
    <row r="52" spans="3:54" x14ac:dyDescent="0.25">
      <c r="C52" s="555" t="s">
        <v>99</v>
      </c>
      <c r="G52" s="1">
        <f>+G9+G8+G13</f>
        <v>3273539638.6986003</v>
      </c>
      <c r="H52" s="1">
        <f t="shared" ref="H52:BB52" si="19">+H9+H8+H13</f>
        <v>3970861790.8468575</v>
      </c>
      <c r="I52" s="1">
        <f t="shared" si="19"/>
        <v>3792277452.3860483</v>
      </c>
      <c r="J52" s="1">
        <f t="shared" si="19"/>
        <v>3420512976.6495366</v>
      </c>
      <c r="K52" s="1">
        <f t="shared" si="19"/>
        <v>3667937031.4978962</v>
      </c>
      <c r="L52" s="1">
        <f t="shared" si="19"/>
        <v>3274078386.235671</v>
      </c>
      <c r="M52" s="1">
        <f t="shared" si="19"/>
        <v>3376146938.9296274</v>
      </c>
      <c r="N52" s="1">
        <f t="shared" si="19"/>
        <v>3621598287.3765931</v>
      </c>
      <c r="O52" s="1">
        <f t="shared" si="19"/>
        <v>3338176893.1516833</v>
      </c>
      <c r="P52" s="1">
        <f t="shared" si="19"/>
        <v>3446635740.6711988</v>
      </c>
      <c r="Q52" s="1">
        <f t="shared" si="19"/>
        <v>4011439684.6448255</v>
      </c>
      <c r="R52" s="1">
        <f t="shared" si="19"/>
        <v>4349314494.3400259</v>
      </c>
      <c r="S52" s="1">
        <f t="shared" si="19"/>
        <v>4625494162.5663557</v>
      </c>
      <c r="T52" s="1">
        <f t="shared" si="19"/>
        <v>4919197258.3882132</v>
      </c>
      <c r="U52" s="1">
        <f t="shared" si="19"/>
        <v>5231591548.5535517</v>
      </c>
      <c r="V52" s="1">
        <f t="shared" si="19"/>
        <v>5563919105.7774239</v>
      </c>
      <c r="W52" s="1">
        <f t="shared" si="19"/>
        <v>5917502597.6503286</v>
      </c>
      <c r="X52" s="1">
        <f t="shared" si="19"/>
        <v>6293751717.4948235</v>
      </c>
      <c r="Y52" s="1">
        <f t="shared" si="19"/>
        <v>6694169872.4634008</v>
      </c>
      <c r="Z52" s="1">
        <f t="shared" si="19"/>
        <v>7120361215.6219616</v>
      </c>
      <c r="AA52" s="1">
        <f t="shared" si="19"/>
        <v>7574038092.6259098</v>
      </c>
      <c r="AB52" s="1">
        <f t="shared" si="19"/>
        <v>8057028964.7574387</v>
      </c>
      <c r="AC52" s="1">
        <f t="shared" si="19"/>
        <v>8571286865.7176046</v>
      </c>
      <c r="AD52" s="1">
        <f t="shared" si="19"/>
        <v>9116062678.6040325</v>
      </c>
      <c r="AE52" s="1">
        <f t="shared" si="19"/>
        <v>9698994986.9321041</v>
      </c>
      <c r="AF52" s="1">
        <f t="shared" si="19"/>
        <v>10319870233.682304</v>
      </c>
      <c r="AG52" s="1">
        <f t="shared" si="19"/>
        <v>10981234697.617754</v>
      </c>
      <c r="AH52" s="1">
        <f t="shared" si="19"/>
        <v>11685811305.789726</v>
      </c>
      <c r="AI52" s="1">
        <f t="shared" si="19"/>
        <v>12436512501.432985</v>
      </c>
      <c r="AJ52" s="1">
        <f t="shared" si="19"/>
        <v>13236454081.160042</v>
      </c>
      <c r="AK52" s="1">
        <f t="shared" si="19"/>
        <v>14088970080.363914</v>
      </c>
      <c r="AL52" s="1">
        <f t="shared" si="19"/>
        <v>14997628791.876366</v>
      </c>
      <c r="AM52" s="1">
        <f t="shared" si="19"/>
        <v>15966250009.695274</v>
      </c>
      <c r="AN52" s="1">
        <f t="shared" si="19"/>
        <v>16998923597.020412</v>
      </c>
      <c r="AO52" s="1">
        <f t="shared" si="19"/>
        <v>18100029485.947769</v>
      </c>
      <c r="AP52" s="1">
        <f t="shared" si="19"/>
        <v>19274259225.034908</v>
      </c>
      <c r="AQ52" s="1">
        <f t="shared" si="19"/>
        <v>20526639200.601269</v>
      </c>
      <c r="AR52" s="1">
        <f t="shared" si="19"/>
        <v>21862555668.140591</v>
      </c>
      <c r="AS52" s="1">
        <f t="shared" si="19"/>
        <v>23287781741.66851</v>
      </c>
      <c r="AT52" s="1">
        <f t="shared" si="19"/>
        <v>24808506501.28093</v>
      </c>
      <c r="AU52" s="1">
        <f t="shared" si="19"/>
        <v>26431366392.746143</v>
      </c>
      <c r="AV52" s="1">
        <f t="shared" si="19"/>
        <v>28163479107.698795</v>
      </c>
      <c r="AW52" s="1">
        <f t="shared" si="19"/>
        <v>0</v>
      </c>
      <c r="AX52" s="1">
        <f t="shared" si="19"/>
        <v>0</v>
      </c>
      <c r="AY52" s="1">
        <f t="shared" si="19"/>
        <v>0</v>
      </c>
      <c r="AZ52" s="1">
        <f t="shared" si="19"/>
        <v>0</v>
      </c>
      <c r="BA52" s="1">
        <f t="shared" si="19"/>
        <v>0</v>
      </c>
      <c r="BB52" s="1">
        <f t="shared" si="19"/>
        <v>0</v>
      </c>
    </row>
    <row r="53" spans="3:54" x14ac:dyDescent="0.25">
      <c r="C53" s="555" t="s">
        <v>101</v>
      </c>
      <c r="D53" s="1">
        <f>ABS(D51)</f>
        <v>18403932915.68</v>
      </c>
      <c r="E53" s="1">
        <f>+D53+E51</f>
        <v>18931033439.49081</v>
      </c>
      <c r="F53" s="1">
        <f>+E53+F51</f>
        <v>19473232197.341034</v>
      </c>
      <c r="G53" s="1">
        <f>+G52</f>
        <v>3273539638.6986003</v>
      </c>
      <c r="H53" s="1">
        <f t="shared" ref="H53:AH53" si="20">+H52</f>
        <v>3970861790.8468575</v>
      </c>
      <c r="I53" s="1">
        <f t="shared" si="20"/>
        <v>3792277452.3860483</v>
      </c>
      <c r="J53" s="1">
        <f t="shared" si="20"/>
        <v>3420512976.6495366</v>
      </c>
      <c r="K53" s="1">
        <f t="shared" si="20"/>
        <v>3667937031.4978962</v>
      </c>
      <c r="L53" s="1">
        <f t="shared" si="20"/>
        <v>3274078386.235671</v>
      </c>
      <c r="M53" s="1">
        <f t="shared" si="20"/>
        <v>3376146938.9296274</v>
      </c>
      <c r="N53" s="1">
        <f t="shared" si="20"/>
        <v>3621598287.3765931</v>
      </c>
      <c r="O53" s="1">
        <f t="shared" si="20"/>
        <v>3338176893.1516833</v>
      </c>
      <c r="P53" s="1">
        <f t="shared" si="20"/>
        <v>3446635740.6711988</v>
      </c>
      <c r="Q53" s="1">
        <f t="shared" si="20"/>
        <v>4011439684.6448255</v>
      </c>
      <c r="R53" s="1">
        <f t="shared" si="20"/>
        <v>4349314494.3400259</v>
      </c>
      <c r="S53" s="1">
        <f t="shared" si="20"/>
        <v>4625494162.5663557</v>
      </c>
      <c r="T53" s="1">
        <f t="shared" si="20"/>
        <v>4919197258.3882132</v>
      </c>
      <c r="U53" s="1">
        <f t="shared" si="20"/>
        <v>5231591548.5535517</v>
      </c>
      <c r="V53" s="1">
        <f t="shared" si="20"/>
        <v>5563919105.7774239</v>
      </c>
      <c r="W53" s="1">
        <f t="shared" si="20"/>
        <v>5917502597.6503286</v>
      </c>
      <c r="X53" s="1">
        <f t="shared" si="20"/>
        <v>6293751717.4948235</v>
      </c>
      <c r="Y53" s="1">
        <f t="shared" si="20"/>
        <v>6694169872.4634008</v>
      </c>
      <c r="Z53" s="1">
        <f t="shared" si="20"/>
        <v>7120361215.6219616</v>
      </c>
      <c r="AA53" s="1">
        <f t="shared" si="20"/>
        <v>7574038092.6259098</v>
      </c>
      <c r="AB53" s="1">
        <f t="shared" si="20"/>
        <v>8057028964.7574387</v>
      </c>
      <c r="AC53" s="1">
        <f t="shared" si="20"/>
        <v>8571286865.7176046</v>
      </c>
      <c r="AD53" s="1">
        <f t="shared" si="20"/>
        <v>9116062678.6040325</v>
      </c>
      <c r="AE53" s="1">
        <f t="shared" si="20"/>
        <v>9698994986.9321041</v>
      </c>
      <c r="AF53" s="1">
        <f t="shared" si="20"/>
        <v>10319870233.682304</v>
      </c>
      <c r="AG53" s="1">
        <f t="shared" si="20"/>
        <v>10981234697.617754</v>
      </c>
      <c r="AH53" s="1">
        <f t="shared" si="20"/>
        <v>11685811305.789726</v>
      </c>
      <c r="AI53" s="1">
        <f t="shared" ref="AI53:BB53" si="21">+AI52</f>
        <v>12436512501.432985</v>
      </c>
      <c r="AJ53" s="1">
        <f t="shared" si="21"/>
        <v>13236454081.160042</v>
      </c>
      <c r="AK53" s="1">
        <f t="shared" si="21"/>
        <v>14088970080.363914</v>
      </c>
      <c r="AL53" s="1">
        <f t="shared" si="21"/>
        <v>14997628791.876366</v>
      </c>
      <c r="AM53" s="1">
        <f t="shared" si="21"/>
        <v>15966250009.695274</v>
      </c>
      <c r="AN53" s="1">
        <f t="shared" si="21"/>
        <v>16998923597.020412</v>
      </c>
      <c r="AO53" s="1">
        <f t="shared" si="21"/>
        <v>18100029485.947769</v>
      </c>
      <c r="AP53" s="1">
        <f t="shared" si="21"/>
        <v>19274259225.034908</v>
      </c>
      <c r="AQ53" s="1">
        <f t="shared" si="21"/>
        <v>20526639200.601269</v>
      </c>
      <c r="AR53" s="1">
        <f t="shared" si="21"/>
        <v>21862555668.140591</v>
      </c>
      <c r="AS53" s="1">
        <f t="shared" si="21"/>
        <v>23287781741.66851</v>
      </c>
      <c r="AT53" s="1">
        <f t="shared" si="21"/>
        <v>24808506501.28093</v>
      </c>
      <c r="AU53" s="1">
        <f t="shared" si="21"/>
        <v>26431366392.746143</v>
      </c>
      <c r="AV53" s="1">
        <f t="shared" si="21"/>
        <v>28163479107.698795</v>
      </c>
      <c r="AW53" s="1">
        <f t="shared" si="21"/>
        <v>0</v>
      </c>
      <c r="AX53" s="1">
        <f t="shared" si="21"/>
        <v>0</v>
      </c>
      <c r="AY53" s="1">
        <f t="shared" si="21"/>
        <v>0</v>
      </c>
      <c r="AZ53" s="1">
        <f t="shared" si="21"/>
        <v>0</v>
      </c>
      <c r="BA53" s="1">
        <f t="shared" si="21"/>
        <v>0</v>
      </c>
      <c r="BB53" s="1">
        <f t="shared" si="21"/>
        <v>0</v>
      </c>
    </row>
    <row r="54" spans="3:54" x14ac:dyDescent="0.25">
      <c r="C54" s="555" t="s">
        <v>262</v>
      </c>
      <c r="G54" s="101">
        <f>F53+PV(10%,G6,,G53)*-1+PV(10%,G6,,G51)*-1+'Dep y Dif ACTUALMENTE'!F19*'Dep y Dif ACTUALMENTE'!F14</f>
        <v>65282526839.952652</v>
      </c>
      <c r="H54" s="101">
        <f>G54+PV(10%,H6,,H53)*-1+PV(10%,H6,,H51)*-1</f>
        <v>68411723240.180466</v>
      </c>
      <c r="I54" s="101">
        <f>H54+PV(10%,I6,,I53)*-1+PV(10%,I6,,I51)*-1</f>
        <v>71168763248.765823</v>
      </c>
      <c r="J54" s="101">
        <f t="shared" ref="J54:Q54" si="22">I54+PV(10%,J6,,J53)*-1+PV(10%,J6,,J51)*-1</f>
        <v>73487696306.821945</v>
      </c>
      <c r="K54" s="101">
        <f t="shared" si="22"/>
        <v>75744379776.996674</v>
      </c>
      <c r="L54" s="101">
        <f t="shared" si="22"/>
        <v>77638384299.386917</v>
      </c>
      <c r="M54" s="101">
        <f t="shared" si="22"/>
        <v>79418701987.893295</v>
      </c>
      <c r="N54" s="101">
        <f t="shared" si="22"/>
        <v>81589278086.712509</v>
      </c>
      <c r="O54" s="101">
        <f t="shared" si="22"/>
        <v>83203988829.365433</v>
      </c>
      <c r="P54" s="101">
        <f t="shared" si="22"/>
        <v>84624375641.72612</v>
      </c>
      <c r="Q54" s="101">
        <f t="shared" si="22"/>
        <v>86492752601.260834</v>
      </c>
      <c r="R54" s="101">
        <f>Q54+PV(10%,R6,,R53)*-1+PV(10%,R6,,R51)*-1+IF($A$36=1,'Dep y Dif REEMPLAZO'!B47*'Dep y Dif REEMPLAZO'!B46,IF($A$36=2,'Dep y Dif REFURBISHMENT'!$D$24))</f>
        <v>87929287484.425598</v>
      </c>
      <c r="S54" s="417">
        <f>R54+PV(10%,S6,,S53)*-1+PV(10%,S6,,S51)*-1</f>
        <v>89317546173.028275</v>
      </c>
      <c r="T54" s="417">
        <f t="shared" ref="T54:BB54" si="23">S54+PV(10%,T6,,T53)*-1+PV(10%,T6,,T51)*-1</f>
        <v>90659149033.857742</v>
      </c>
      <c r="U54" s="417">
        <f t="shared" si="23"/>
        <v>91955673346.259094</v>
      </c>
      <c r="V54" s="417">
        <f t="shared" si="23"/>
        <v>93208651741.698822</v>
      </c>
      <c r="W54" s="417">
        <f t="shared" si="23"/>
        <v>94419571489.935806</v>
      </c>
      <c r="X54" s="417">
        <f t="shared" si="23"/>
        <v>95589874368.195282</v>
      </c>
      <c r="Y54" s="417">
        <f t="shared" si="23"/>
        <v>96720956936.407013</v>
      </c>
      <c r="Z54" s="417">
        <f t="shared" si="23"/>
        <v>97814171097.052948</v>
      </c>
      <c r="AA54" s="417">
        <f t="shared" si="23"/>
        <v>98870824854.6259</v>
      </c>
      <c r="AB54" s="417">
        <f t="shared" si="23"/>
        <v>99892183214.214203</v>
      </c>
      <c r="AC54" s="417">
        <f t="shared" si="23"/>
        <v>100879469175.55118</v>
      </c>
      <c r="AD54" s="417">
        <f t="shared" si="23"/>
        <v>101833626854.11076</v>
      </c>
      <c r="AE54" s="417">
        <f t="shared" si="23"/>
        <v>102756037964.04114</v>
      </c>
      <c r="AF54" s="417">
        <f t="shared" si="23"/>
        <v>103647805966.77908</v>
      </c>
      <c r="AG54" s="417">
        <f t="shared" si="23"/>
        <v>104509996723.44115</v>
      </c>
      <c r="AH54" s="417">
        <f t="shared" si="23"/>
        <v>105343639623.94295</v>
      </c>
      <c r="AI54" s="417">
        <f t="shared" si="23"/>
        <v>105991565569.00569</v>
      </c>
      <c r="AJ54" s="417">
        <f t="shared" si="23"/>
        <v>106618476341.09546</v>
      </c>
      <c r="AK54" s="417">
        <f t="shared" si="23"/>
        <v>107225101805.26457</v>
      </c>
      <c r="AL54" s="417">
        <f t="shared" si="23"/>
        <v>107812146685.4028</v>
      </c>
      <c r="AM54" s="417">
        <f t="shared" si="23"/>
        <v>108380291366.09425</v>
      </c>
      <c r="AN54" s="417">
        <f t="shared" si="23"/>
        <v>108930192678.56519</v>
      </c>
      <c r="AO54" s="417">
        <f t="shared" si="23"/>
        <v>109462484669.30522</v>
      </c>
      <c r="AP54" s="417">
        <f t="shared" si="23"/>
        <v>109977779350.34923</v>
      </c>
      <c r="AQ54" s="417">
        <f t="shared" si="23"/>
        <v>110476667430.52654</v>
      </c>
      <c r="AR54" s="417">
        <f t="shared" si="23"/>
        <v>110959719027.23714</v>
      </c>
      <c r="AS54" s="417">
        <f t="shared" si="23"/>
        <v>111427484358.51515</v>
      </c>
      <c r="AT54" s="417">
        <f t="shared" si="23"/>
        <v>111880494415.29919</v>
      </c>
      <c r="AU54" s="417">
        <f t="shared" si="23"/>
        <v>112319261613.9556</v>
      </c>
      <c r="AV54" s="417">
        <f t="shared" si="23"/>
        <v>112744280429.20047</v>
      </c>
      <c r="AW54" s="417">
        <f t="shared" si="23"/>
        <v>112744280429.20047</v>
      </c>
      <c r="AX54" s="417">
        <f t="shared" si="23"/>
        <v>112744280429.20047</v>
      </c>
      <c r="AY54" s="417">
        <f t="shared" si="23"/>
        <v>112744280429.20047</v>
      </c>
      <c r="AZ54" s="417">
        <f t="shared" si="23"/>
        <v>112744280429.20047</v>
      </c>
      <c r="BA54" s="417">
        <f t="shared" si="23"/>
        <v>112744280429.20047</v>
      </c>
      <c r="BB54" s="417">
        <f t="shared" si="23"/>
        <v>112744280429.20047</v>
      </c>
    </row>
    <row r="55" spans="3:54" x14ac:dyDescent="0.25">
      <c r="C55" s="555" t="s">
        <v>97</v>
      </c>
      <c r="G55" s="101">
        <f t="shared" ref="G55:BB55" si="24">PMT(10%,G6,G54)*-1</f>
        <v>26251070460.416016</v>
      </c>
      <c r="H55" s="101">
        <f t="shared" si="24"/>
        <v>21581901313.498863</v>
      </c>
      <c r="I55" s="101">
        <f t="shared" si="24"/>
        <v>18774140456.302086</v>
      </c>
      <c r="J55" s="101">
        <f t="shared" si="24"/>
        <v>16873317437.896656</v>
      </c>
      <c r="K55" s="101">
        <f t="shared" si="24"/>
        <v>15558312177.605698</v>
      </c>
      <c r="L55" s="101">
        <f t="shared" si="24"/>
        <v>14552850671.094404</v>
      </c>
      <c r="M55" s="101">
        <f t="shared" si="24"/>
        <v>13790306225.762428</v>
      </c>
      <c r="N55" s="101">
        <f t="shared" si="24"/>
        <v>13278279280.401079</v>
      </c>
      <c r="O55" s="101">
        <f t="shared" si="24"/>
        <v>12810347549.150042</v>
      </c>
      <c r="P55" s="101">
        <f t="shared" si="24"/>
        <v>12419753907.471731</v>
      </c>
      <c r="Q55" s="101">
        <f t="shared" si="24"/>
        <v>12176322027.775986</v>
      </c>
      <c r="R55" s="101">
        <f t="shared" si="24"/>
        <v>11936068687.371668</v>
      </c>
      <c r="S55" s="101">
        <f t="shared" si="24"/>
        <v>11742915137.680286</v>
      </c>
      <c r="T55" s="101">
        <f t="shared" si="24"/>
        <v>11587746065.34181</v>
      </c>
      <c r="U55" s="101">
        <f t="shared" si="24"/>
        <v>11463574420.203041</v>
      </c>
      <c r="V55" s="101">
        <f t="shared" si="24"/>
        <v>11364951619.902264</v>
      </c>
      <c r="W55" s="101">
        <f t="shared" si="24"/>
        <v>11287564071.680025</v>
      </c>
      <c r="X55" s="101">
        <f t="shared" si="24"/>
        <v>11227950775.34301</v>
      </c>
      <c r="Y55" s="101">
        <f t="shared" si="24"/>
        <v>11183301627.452366</v>
      </c>
      <c r="Z55" s="101">
        <f t="shared" si="24"/>
        <v>11151310733.368492</v>
      </c>
      <c r="AA55" s="101">
        <f t="shared" si="24"/>
        <v>11130067972.788351</v>
      </c>
      <c r="AB55" s="101">
        <f t="shared" si="24"/>
        <v>11117977650.923973</v>
      </c>
      <c r="AC55" s="101">
        <f t="shared" si="24"/>
        <v>11113696642.623106</v>
      </c>
      <c r="AD55" s="101">
        <f t="shared" si="24"/>
        <v>11116060801.275295</v>
      </c>
      <c r="AE55" s="101">
        <f t="shared" si="24"/>
        <v>11124126399.628532</v>
      </c>
      <c r="AF55" s="101">
        <f t="shared" si="24"/>
        <v>11137061762.839346</v>
      </c>
      <c r="AG55" s="101">
        <f t="shared" si="24"/>
        <v>11154150738.695702</v>
      </c>
      <c r="AH55" s="101">
        <f t="shared" si="24"/>
        <v>11174774099.504248</v>
      </c>
      <c r="AI55" s="101">
        <f t="shared" si="24"/>
        <v>11181708883.777006</v>
      </c>
      <c r="AJ55" s="101">
        <f t="shared" si="24"/>
        <v>11191924494.815134</v>
      </c>
      <c r="AK55" s="101">
        <f t="shared" si="24"/>
        <v>11204959479.998213</v>
      </c>
      <c r="AL55" s="101">
        <f t="shared" si="24"/>
        <v>11220409701.274689</v>
      </c>
      <c r="AM55" s="101">
        <f t="shared" si="24"/>
        <v>11237920452.558882</v>
      </c>
      <c r="AN55" s="101">
        <f t="shared" si="24"/>
        <v>11257179853.728664</v>
      </c>
      <c r="AO55" s="101">
        <f t="shared" si="24"/>
        <v>11277913280.864983</v>
      </c>
      <c r="AP55" s="101">
        <f t="shared" si="24"/>
        <v>11299878643.202312</v>
      </c>
      <c r="AQ55" s="101">
        <f t="shared" si="24"/>
        <v>11322862356.316475</v>
      </c>
      <c r="AR55" s="101">
        <f t="shared" si="24"/>
        <v>11346675891.308243</v>
      </c>
      <c r="AS55" s="101">
        <f t="shared" si="24"/>
        <v>11371152803.30282</v>
      </c>
      <c r="AT55" s="101">
        <f t="shared" si="24"/>
        <v>11396146161.067547</v>
      </c>
      <c r="AU55" s="101">
        <f t="shared" si="24"/>
        <v>11421526314.137178</v>
      </c>
      <c r="AV55" s="101">
        <f t="shared" si="24"/>
        <v>11447178945.415855</v>
      </c>
      <c r="AW55" s="101">
        <f t="shared" si="24"/>
        <v>11431255865.81111</v>
      </c>
      <c r="AX55" s="101">
        <f t="shared" si="24"/>
        <v>11416818730.898426</v>
      </c>
      <c r="AY55" s="101">
        <f t="shared" si="24"/>
        <v>11403725671.2798</v>
      </c>
      <c r="AZ55" s="101">
        <f t="shared" si="24"/>
        <v>11391848922.469448</v>
      </c>
      <c r="BA55" s="101">
        <f t="shared" si="24"/>
        <v>11381073325.331398</v>
      </c>
      <c r="BB55" s="101">
        <f t="shared" si="24"/>
        <v>11371295002.513287</v>
      </c>
    </row>
    <row r="56" spans="3:54" x14ac:dyDescent="0.25"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3:54" x14ac:dyDescent="0.25">
      <c r="C57" s="555" t="s">
        <v>263</v>
      </c>
      <c r="D57" s="1">
        <f>MIN(G55:AW55)</f>
        <v>11113696642.623106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3:54" x14ac:dyDescent="0.25">
      <c r="C58" s="55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3:54" x14ac:dyDescent="0.25">
      <c r="C59" s="55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>
        <f>AC55*25</f>
        <v>277842416065.57764</v>
      </c>
      <c r="AD59" s="1">
        <f>AD55*AD6</f>
        <v>289017580833.15765</v>
      </c>
      <c r="AE59" s="1"/>
      <c r="AF59" s="1"/>
      <c r="AG59" s="1"/>
      <c r="AH59" s="1"/>
    </row>
    <row r="60" spans="3:54" x14ac:dyDescent="0.25">
      <c r="C60" s="55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>
        <f>SUM(E7:AC7)</f>
        <v>591589075445.49146</v>
      </c>
      <c r="AD60" s="1">
        <f>SUM(E7:AD7)</f>
        <v>634590381232.38257</v>
      </c>
      <c r="AE60" s="1"/>
      <c r="AF60" s="1"/>
      <c r="AG60" s="1"/>
      <c r="AH60" s="1"/>
    </row>
    <row r="61" spans="3:54" x14ac:dyDescent="0.25">
      <c r="AC61">
        <f>AC60/AC59</f>
        <v>2.129225205505922</v>
      </c>
      <c r="AD61">
        <f>AD60/AD59</f>
        <v>2.1956808973455324</v>
      </c>
    </row>
    <row r="62" spans="3:54" x14ac:dyDescent="0.25">
      <c r="AD62" s="2">
        <f>AC55*AD6</f>
        <v>288956112708.20074</v>
      </c>
    </row>
    <row r="63" spans="3:54" x14ac:dyDescent="0.25">
      <c r="AD63">
        <f>AD60/AD62</f>
        <v>2.1961479730772018</v>
      </c>
    </row>
  </sheetData>
  <customSheetViews>
    <customSheetView guid="{4855CA7E-D0E4-4BAE-B28F-C7B8E2548C7E}" scale="85">
      <pane xSplit="2.9562289562289563" ySplit="6" topLeftCell="D7" activePane="bottomRight" state="frozenSplit"/>
      <selection pane="bottomRight" activeCell="J65" sqref="J65"/>
      <pageMargins left="0.7" right="0.7" top="0.75" bottom="0.75" header="0.3" footer="0.3"/>
      <pageSetup orientation="portrait"/>
    </customSheetView>
    <customSheetView guid="{8877400E-0ED9-40F2-B6D2-591D7CFEBFC1}" scale="85">
      <pane xSplit="3" ySplit="6" topLeftCell="D7" activePane="bottomRight" state="frozenSplit"/>
      <selection pane="bottomRight" activeCell="C27" sqref="C27"/>
      <pageMargins left="0.7" right="0.7" top="0.75" bottom="0.75" header="0.3" footer="0.3"/>
      <pageSetup orientation="portrait"/>
    </customSheetView>
  </customSheetViews>
  <mergeCells count="4">
    <mergeCell ref="A6:C6"/>
    <mergeCell ref="A7:A8"/>
    <mergeCell ref="A9:A10"/>
    <mergeCell ref="A5:C5"/>
  </mergeCells>
  <conditionalFormatting sqref="G55:BA55">
    <cfRule type="cellIs" dxfId="14" priority="2" operator="equal">
      <formula>$D$57</formula>
    </cfRule>
  </conditionalFormatting>
  <conditionalFormatting sqref="BB55">
    <cfRule type="cellIs" dxfId="13" priority="1" operator="equal">
      <formula>$D$57</formula>
    </cfRule>
  </conditionalFormatting>
  <dataValidations count="1">
    <dataValidation type="list" errorStyle="warning" allowBlank="1" showInputMessage="1" showErrorMessage="1" error="Ingrese solo los valores de l lista" promptTitle="Financiación" prompt="Escoja el Método de finaciación" sqref="A41">
      <formula1>"Con Financiación, Sin Financiación"</formula1>
    </dataValidation>
  </dataValidations>
  <pageMargins left="0.7" right="0.7" top="0.75" bottom="0.75" header="0.3" footer="0.3"/>
  <pageSetup scale="90" orientation="landscape" r:id="rId1"/>
  <headerFooter>
    <oddHeader>&amp;C&amp;F-&amp;A-&amp;P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2" r:id="rId4" name="Spinner 4">
              <controlPr defaultSize="0" autoPict="0" altText="LCC">
                <anchor moveWithCells="1" sizeWithCells="1">
                  <from>
                    <xdr:col>0</xdr:col>
                    <xdr:colOff>457200</xdr:colOff>
                    <xdr:row>34</xdr:row>
                    <xdr:rowOff>180975</xdr:rowOff>
                  </from>
                  <to>
                    <xdr:col>0</xdr:col>
                    <xdr:colOff>866775</xdr:colOff>
                    <xdr:row>37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J170"/>
  <sheetViews>
    <sheetView topLeftCell="A181" zoomScaleNormal="100" zoomScalePageLayoutView="90" workbookViewId="0">
      <selection activeCell="I107" sqref="I107"/>
    </sheetView>
  </sheetViews>
  <sheetFormatPr baseColWidth="10" defaultRowHeight="15" x14ac:dyDescent="0.25"/>
  <cols>
    <col min="1" max="1" width="14.7109375" customWidth="1"/>
    <col min="2" max="13" width="14.42578125" bestFit="1" customWidth="1"/>
    <col min="14" max="14" width="19.7109375" bestFit="1" customWidth="1"/>
    <col min="15" max="15" width="14.85546875" customWidth="1"/>
    <col min="16" max="16" width="30.140625" bestFit="1" customWidth="1"/>
    <col min="17" max="17" width="13.85546875" bestFit="1" customWidth="1"/>
    <col min="19" max="19" width="17.42578125" style="234" bestFit="1" customWidth="1"/>
    <col min="20" max="20" width="13.85546875" bestFit="1" customWidth="1"/>
    <col min="25" max="25" width="11.85546875" bestFit="1" customWidth="1"/>
  </cols>
  <sheetData>
    <row r="2" spans="1:14" ht="15.75" thickBot="1" x14ac:dyDescent="0.3">
      <c r="A2" t="s">
        <v>118</v>
      </c>
    </row>
    <row r="3" spans="1:14" x14ac:dyDescent="0.25">
      <c r="A3" s="317" t="s">
        <v>106</v>
      </c>
      <c r="B3" s="318" t="s">
        <v>107</v>
      </c>
      <c r="C3" s="318" t="s">
        <v>108</v>
      </c>
      <c r="D3" s="318" t="s">
        <v>109</v>
      </c>
      <c r="E3" s="318" t="s">
        <v>110</v>
      </c>
      <c r="F3" s="318" t="s">
        <v>111</v>
      </c>
      <c r="G3" s="318" t="s">
        <v>112</v>
      </c>
      <c r="H3" s="318" t="s">
        <v>119</v>
      </c>
      <c r="I3" s="318" t="s">
        <v>113</v>
      </c>
      <c r="J3" s="318" t="s">
        <v>114</v>
      </c>
      <c r="K3" s="318" t="s">
        <v>115</v>
      </c>
      <c r="L3" s="318" t="s">
        <v>116</v>
      </c>
      <c r="M3" s="318" t="s">
        <v>117</v>
      </c>
      <c r="N3" s="319" t="s">
        <v>120</v>
      </c>
    </row>
    <row r="4" spans="1:14" x14ac:dyDescent="0.25">
      <c r="A4" s="299">
        <v>1999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26">
        <f>SUM(B4:M4)</f>
        <v>0</v>
      </c>
    </row>
    <row r="5" spans="1:14" x14ac:dyDescent="0.25">
      <c r="A5" s="299">
        <v>2000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26">
        <f t="shared" ref="N5:N19" si="0">SUM(B5:M5)</f>
        <v>0</v>
      </c>
    </row>
    <row r="6" spans="1:14" x14ac:dyDescent="0.25">
      <c r="A6" s="299">
        <v>2001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26">
        <f t="shared" si="0"/>
        <v>0</v>
      </c>
    </row>
    <row r="7" spans="1:14" x14ac:dyDescent="0.25">
      <c r="A7" s="299">
        <v>2002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26">
        <f t="shared" si="0"/>
        <v>0</v>
      </c>
    </row>
    <row r="8" spans="1:14" x14ac:dyDescent="0.25">
      <c r="A8" s="299">
        <v>2003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26">
        <f t="shared" si="0"/>
        <v>0</v>
      </c>
    </row>
    <row r="9" spans="1:14" x14ac:dyDescent="0.25">
      <c r="A9" s="299">
        <v>2004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26">
        <f t="shared" si="0"/>
        <v>0</v>
      </c>
    </row>
    <row r="10" spans="1:14" x14ac:dyDescent="0.25">
      <c r="A10" s="299">
        <v>2005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26">
        <f t="shared" si="0"/>
        <v>0</v>
      </c>
    </row>
    <row r="11" spans="1:14" x14ac:dyDescent="0.25">
      <c r="A11" s="299">
        <v>2006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26">
        <f t="shared" si="0"/>
        <v>0</v>
      </c>
    </row>
    <row r="12" spans="1:14" x14ac:dyDescent="0.25">
      <c r="A12" s="299">
        <v>2007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26">
        <f t="shared" si="0"/>
        <v>0</v>
      </c>
    </row>
    <row r="13" spans="1:14" x14ac:dyDescent="0.25">
      <c r="A13" s="299">
        <v>2008</v>
      </c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26">
        <f t="shared" si="0"/>
        <v>0</v>
      </c>
    </row>
    <row r="14" spans="1:14" x14ac:dyDescent="0.25">
      <c r="A14" s="299">
        <v>2009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26">
        <f t="shared" si="0"/>
        <v>0</v>
      </c>
    </row>
    <row r="15" spans="1:14" x14ac:dyDescent="0.25">
      <c r="A15" s="299">
        <v>2010</v>
      </c>
      <c r="B15" s="108"/>
      <c r="C15" s="108"/>
      <c r="D15" s="108"/>
      <c r="E15" s="108"/>
      <c r="F15" s="108">
        <v>4291220.4913744368</v>
      </c>
      <c r="G15" s="108">
        <v>2682090.0592269315</v>
      </c>
      <c r="H15" s="108"/>
      <c r="I15" s="108"/>
      <c r="J15" s="108"/>
      <c r="K15" s="108">
        <v>4252446.0565209165</v>
      </c>
      <c r="L15" s="108"/>
      <c r="M15" s="108"/>
      <c r="N15" s="126">
        <f t="shared" si="0"/>
        <v>11225756.607122285</v>
      </c>
    </row>
    <row r="16" spans="1:14" x14ac:dyDescent="0.25">
      <c r="A16" s="299">
        <v>2011</v>
      </c>
      <c r="B16" s="108"/>
      <c r="C16" s="108"/>
      <c r="D16" s="108"/>
      <c r="E16" s="108"/>
      <c r="F16" s="108" t="s">
        <v>121</v>
      </c>
      <c r="G16" s="108"/>
      <c r="H16" s="108"/>
      <c r="I16" s="108"/>
      <c r="J16" s="108"/>
      <c r="K16" s="108"/>
      <c r="L16" s="108"/>
      <c r="M16" s="108"/>
      <c r="N16" s="126">
        <f t="shared" si="0"/>
        <v>0</v>
      </c>
    </row>
    <row r="17" spans="1:36" x14ac:dyDescent="0.25">
      <c r="A17" s="299">
        <v>2012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26">
        <f t="shared" si="0"/>
        <v>0</v>
      </c>
    </row>
    <row r="18" spans="1:36" ht="15.75" thickBot="1" x14ac:dyDescent="0.3">
      <c r="A18" s="299">
        <v>2013</v>
      </c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26">
        <f t="shared" si="0"/>
        <v>0</v>
      </c>
    </row>
    <row r="19" spans="1:36" ht="15.75" thickBot="1" x14ac:dyDescent="0.3">
      <c r="A19" s="309">
        <v>2014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75">
        <f t="shared" si="0"/>
        <v>0</v>
      </c>
      <c r="P19" s="297" t="s">
        <v>230</v>
      </c>
      <c r="Q19" s="298">
        <v>0.2</v>
      </c>
    </row>
    <row r="20" spans="1:36" ht="15.75" thickBot="1" x14ac:dyDescent="0.3">
      <c r="A20" s="23"/>
      <c r="B20" s="121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P20" s="234"/>
    </row>
    <row r="21" spans="1:36" ht="15.75" thickBot="1" x14ac:dyDescent="0.3">
      <c r="P21" s="295" t="s">
        <v>225</v>
      </c>
      <c r="Q21" s="296">
        <v>3900000</v>
      </c>
    </row>
    <row r="22" spans="1:36" ht="15.75" thickBot="1" x14ac:dyDescent="0.3">
      <c r="A22" s="447" t="s">
        <v>200</v>
      </c>
      <c r="B22" s="448"/>
      <c r="C22" s="306" t="s">
        <v>201</v>
      </c>
      <c r="D22" s="307">
        <f>(1-48/(365*24))</f>
        <v>0.9945205479452055</v>
      </c>
      <c r="E22" s="306"/>
      <c r="F22" s="306" t="s">
        <v>202</v>
      </c>
      <c r="G22" s="308">
        <f>(1-15/(365*24))</f>
        <v>0.99828767123287676</v>
      </c>
    </row>
    <row r="23" spans="1:36" ht="15.75" thickBot="1" x14ac:dyDescent="0.3">
      <c r="A23" s="333" t="s">
        <v>106</v>
      </c>
      <c r="B23" s="334" t="s">
        <v>107</v>
      </c>
      <c r="C23" s="334" t="s">
        <v>108</v>
      </c>
      <c r="D23" s="334" t="s">
        <v>109</v>
      </c>
      <c r="E23" s="334" t="s">
        <v>110</v>
      </c>
      <c r="F23" s="334" t="s">
        <v>111</v>
      </c>
      <c r="G23" s="334" t="s">
        <v>112</v>
      </c>
      <c r="H23" s="334" t="s">
        <v>119</v>
      </c>
      <c r="I23" s="334" t="s">
        <v>113</v>
      </c>
      <c r="J23" s="334" t="s">
        <v>114</v>
      </c>
      <c r="K23" s="334" t="s">
        <v>115</v>
      </c>
      <c r="L23" s="334" t="s">
        <v>116</v>
      </c>
      <c r="M23" s="334" t="s">
        <v>117</v>
      </c>
      <c r="N23" s="334" t="s">
        <v>120</v>
      </c>
      <c r="O23" s="334" t="s">
        <v>213</v>
      </c>
      <c r="P23" s="334" t="s">
        <v>214</v>
      </c>
      <c r="Q23" s="334" t="s">
        <v>222</v>
      </c>
      <c r="R23" s="334" t="s">
        <v>227</v>
      </c>
      <c r="S23" s="335" t="s">
        <v>226</v>
      </c>
    </row>
    <row r="24" spans="1:36" x14ac:dyDescent="0.25">
      <c r="A24" s="336">
        <v>1999</v>
      </c>
      <c r="B24" s="337"/>
      <c r="C24" s="337"/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>
        <f>SUM(B24:M24)</f>
        <v>0</v>
      </c>
      <c r="O24" s="337"/>
      <c r="P24" s="337"/>
      <c r="Q24" s="337"/>
      <c r="R24" s="337"/>
      <c r="S24" s="338"/>
      <c r="X24" t="s">
        <v>264</v>
      </c>
    </row>
    <row r="25" spans="1:36" x14ac:dyDescent="0.25">
      <c r="A25" s="299">
        <v>2000</v>
      </c>
      <c r="B25" s="332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108"/>
      <c r="N25" s="291">
        <f>+M25/100</f>
        <v>0</v>
      </c>
      <c r="O25" s="281"/>
      <c r="P25" s="281"/>
      <c r="Q25" s="281"/>
      <c r="R25" s="281"/>
      <c r="S25" s="300"/>
      <c r="AB25" t="s">
        <v>407</v>
      </c>
      <c r="AC25" t="s">
        <v>410</v>
      </c>
      <c r="AD25" t="s">
        <v>411</v>
      </c>
      <c r="AE25" t="s">
        <v>412</v>
      </c>
      <c r="AF25" t="s">
        <v>413</v>
      </c>
      <c r="AG25" t="s">
        <v>414</v>
      </c>
      <c r="AH25" t="s">
        <v>415</v>
      </c>
      <c r="AI25" t="s">
        <v>408</v>
      </c>
      <c r="AJ25" t="s">
        <v>409</v>
      </c>
    </row>
    <row r="26" spans="1:36" x14ac:dyDescent="0.25">
      <c r="A26" s="299">
        <v>2001</v>
      </c>
      <c r="B26" s="292">
        <f>99.75875/100</f>
        <v>0.99758750000000007</v>
      </c>
      <c r="C26" s="292">
        <f>99.75875/100</f>
        <v>0.99758750000000007</v>
      </c>
      <c r="D26" s="292">
        <f>99.77454/100</f>
        <v>0.9977454</v>
      </c>
      <c r="E26" s="292">
        <v>0.99804409999999999</v>
      </c>
      <c r="F26" s="292">
        <v>0.99664763999999995</v>
      </c>
      <c r="G26" s="292">
        <v>0.99664763999999995</v>
      </c>
      <c r="H26" s="292">
        <v>0.99665340000000002</v>
      </c>
      <c r="I26" s="292">
        <v>0.99665340000000002</v>
      </c>
      <c r="J26" s="293">
        <v>0.99830669999999999</v>
      </c>
      <c r="K26" s="293">
        <v>0.99830669999999999</v>
      </c>
      <c r="L26" s="293">
        <v>0.99830669999999999</v>
      </c>
      <c r="M26" s="292">
        <v>0.9972394</v>
      </c>
      <c r="N26" s="294">
        <f>+AVERAGE(B26:M26)</f>
        <v>0.99747717333333341</v>
      </c>
      <c r="O26" s="109">
        <f>365*24</f>
        <v>8760</v>
      </c>
      <c r="P26" s="148">
        <f>(1-N26)*O26</f>
        <v>22.099961599999318</v>
      </c>
      <c r="Q26" s="283">
        <f t="shared" ref="Q26:Q36" si="1">$B$170</f>
        <v>14.860800000000836</v>
      </c>
      <c r="R26" s="284">
        <f>P26-Q26</f>
        <v>7.2391615999984822</v>
      </c>
      <c r="S26" s="126">
        <f>IF(R26&lt;0,0,R26*$Q$21)</f>
        <v>28232730.239994079</v>
      </c>
      <c r="AB26">
        <v>1</v>
      </c>
      <c r="AC26">
        <v>2</v>
      </c>
      <c r="AD26">
        <v>3</v>
      </c>
      <c r="AE26">
        <v>4</v>
      </c>
      <c r="AF26">
        <v>5</v>
      </c>
      <c r="AG26">
        <v>6</v>
      </c>
      <c r="AH26">
        <v>7</v>
      </c>
      <c r="AI26">
        <v>8</v>
      </c>
      <c r="AJ26">
        <v>9</v>
      </c>
    </row>
    <row r="27" spans="1:36" x14ac:dyDescent="0.25">
      <c r="A27" s="299">
        <v>2002</v>
      </c>
      <c r="B27" s="292">
        <v>0.9972394</v>
      </c>
      <c r="C27" s="292">
        <v>0.9972394</v>
      </c>
      <c r="D27" s="292">
        <v>0.9972394</v>
      </c>
      <c r="E27" s="292">
        <v>0.99754189999999998</v>
      </c>
      <c r="F27" s="293">
        <v>0.99893264999999998</v>
      </c>
      <c r="G27" s="293">
        <v>0.99893264999999998</v>
      </c>
      <c r="H27" s="293">
        <v>0.99893264999999998</v>
      </c>
      <c r="I27" s="293">
        <v>0.99893264999999998</v>
      </c>
      <c r="J27" s="293">
        <v>0.99893264999999998</v>
      </c>
      <c r="K27" s="293">
        <v>0.99837326000000004</v>
      </c>
      <c r="L27" s="293">
        <v>0.99904300000000001</v>
      </c>
      <c r="M27" s="293">
        <v>0.99882800000000005</v>
      </c>
      <c r="N27" s="294">
        <f t="shared" ref="N27:N54" si="2">+AVERAGE(B27:M27)</f>
        <v>0.99834730083333334</v>
      </c>
      <c r="O27" s="109">
        <f t="shared" ref="O27:O75" si="3">365*24</f>
        <v>8760</v>
      </c>
      <c r="P27" s="148">
        <f t="shared" ref="P27:P36" si="4">(1-N27)*O27</f>
        <v>14.477644699999942</v>
      </c>
      <c r="Q27" s="283">
        <f t="shared" si="1"/>
        <v>14.860800000000836</v>
      </c>
      <c r="R27" s="284">
        <f t="shared" ref="R27:R36" si="5">P27-Q27</f>
        <v>-0.38315530000089382</v>
      </c>
      <c r="S27" s="126">
        <f t="shared" ref="S27:S36" si="6">IF(R27&lt;0,0,R27*$Q$21)</f>
        <v>0</v>
      </c>
      <c r="X27" t="s">
        <v>265</v>
      </c>
      <c r="Y27" s="292">
        <f>99.75875/100</f>
        <v>0.99758750000000007</v>
      </c>
      <c r="Z27">
        <f>IF(Y27&gt;0.999,1,IF(Y27&gt;0.998,2,IF(Y27&gt;0.997,3,IF(Y27&gt;0.996,4,IF(Y27&gt;0.995,5,IF(Y27&gt;0.994,6,IF(Y27&gt;0.993,7,IF(Y25&gt;0.992,8,9))))))))</f>
        <v>3</v>
      </c>
      <c r="AB27">
        <f t="shared" ref="AB27:AJ27" si="7">COUNTIF($Z$27:$Z$162,AB26)</f>
        <v>6</v>
      </c>
      <c r="AC27">
        <f t="shared" si="7"/>
        <v>28</v>
      </c>
      <c r="AD27">
        <f t="shared" si="7"/>
        <v>27</v>
      </c>
      <c r="AE27">
        <f t="shared" si="7"/>
        <v>25</v>
      </c>
      <c r="AF27">
        <f t="shared" si="7"/>
        <v>9</v>
      </c>
      <c r="AG27">
        <f t="shared" si="7"/>
        <v>10</v>
      </c>
      <c r="AH27">
        <f t="shared" si="7"/>
        <v>4</v>
      </c>
      <c r="AI27">
        <f t="shared" si="7"/>
        <v>21</v>
      </c>
      <c r="AJ27">
        <f t="shared" si="7"/>
        <v>6</v>
      </c>
    </row>
    <row r="28" spans="1:36" x14ac:dyDescent="0.25">
      <c r="A28" s="299">
        <v>2003</v>
      </c>
      <c r="B28" s="293">
        <v>0.99882800000000005</v>
      </c>
      <c r="C28" s="293">
        <v>0.99882800000000005</v>
      </c>
      <c r="D28" s="293">
        <v>0.99882800000000005</v>
      </c>
      <c r="E28" s="292">
        <v>0.99827250000000001</v>
      </c>
      <c r="F28" s="292">
        <v>0.99793189999999998</v>
      </c>
      <c r="G28" s="292">
        <v>0.99686646000000001</v>
      </c>
      <c r="H28" s="292">
        <v>0.99686646000000001</v>
      </c>
      <c r="I28" s="292">
        <v>0.99665340000000002</v>
      </c>
      <c r="J28" s="292">
        <v>0.99665340000000002</v>
      </c>
      <c r="K28" s="292">
        <v>0.99721269999999995</v>
      </c>
      <c r="L28" s="292">
        <v>0.99668970000000001</v>
      </c>
      <c r="M28" s="292">
        <v>0.99668970000000001</v>
      </c>
      <c r="N28" s="294">
        <f t="shared" si="2"/>
        <v>0.99752668499999986</v>
      </c>
      <c r="O28" s="109">
        <f t="shared" si="3"/>
        <v>8760</v>
      </c>
      <c r="P28" s="148">
        <f t="shared" si="4"/>
        <v>21.666239400001249</v>
      </c>
      <c r="Q28" s="283">
        <f t="shared" si="1"/>
        <v>14.860800000000836</v>
      </c>
      <c r="R28" s="284">
        <f t="shared" si="5"/>
        <v>6.805439400000413</v>
      </c>
      <c r="S28" s="126">
        <f t="shared" si="6"/>
        <v>26541213.660001609</v>
      </c>
      <c r="X28" t="s">
        <v>266</v>
      </c>
      <c r="Y28" s="292">
        <v>0.9972394</v>
      </c>
      <c r="Z28">
        <f t="shared" ref="Z28:Z91" si="8">IF(Y28&gt;0.999,1,IF(Y28&gt;0.998,2,IF(Y28&gt;0.997,3,IF(Y28&gt;0.996,4,IF(Y28&gt;0.995,5,IF(Y28&gt;0.994,6,IF(Y28&gt;0.993,7,IF(Y26&gt;0.992,8,9))))))))</f>
        <v>3</v>
      </c>
      <c r="AC28">
        <f>80/136</f>
        <v>0.58823529411764708</v>
      </c>
    </row>
    <row r="29" spans="1:36" x14ac:dyDescent="0.25">
      <c r="A29" s="299">
        <v>2004</v>
      </c>
      <c r="B29" s="292">
        <v>0.99730229999999997</v>
      </c>
      <c r="C29" s="292">
        <v>0.99683999999999995</v>
      </c>
      <c r="D29" s="292">
        <v>0.99683999999999995</v>
      </c>
      <c r="E29" s="292">
        <v>0.99739555000000002</v>
      </c>
      <c r="F29" s="292">
        <v>0.99773610000000001</v>
      </c>
      <c r="G29" s="293">
        <v>0.99880159999999996</v>
      </c>
      <c r="H29" s="293">
        <v>0.99880159999999996</v>
      </c>
      <c r="I29" s="293">
        <v>0.99901470000000003</v>
      </c>
      <c r="J29" s="293">
        <v>0.99901470000000003</v>
      </c>
      <c r="K29" s="293">
        <v>0.99901470000000003</v>
      </c>
      <c r="L29" s="292">
        <v>0.99821349999999998</v>
      </c>
      <c r="M29" s="292">
        <v>0.99821349999999998</v>
      </c>
      <c r="N29" s="294">
        <f t="shared" si="2"/>
        <v>0.99809902083333346</v>
      </c>
      <c r="O29" s="109">
        <f t="shared" si="3"/>
        <v>8760</v>
      </c>
      <c r="P29" s="148">
        <f t="shared" si="4"/>
        <v>16.65257749999888</v>
      </c>
      <c r="Q29" s="283">
        <f t="shared" si="1"/>
        <v>14.860800000000836</v>
      </c>
      <c r="R29" s="284">
        <f t="shared" si="5"/>
        <v>1.7917774999980445</v>
      </c>
      <c r="S29" s="126">
        <f t="shared" si="6"/>
        <v>6987932.2499923734</v>
      </c>
      <c r="X29" t="s">
        <v>267</v>
      </c>
      <c r="Y29" s="293">
        <v>0.99882800000000005</v>
      </c>
      <c r="Z29">
        <f t="shared" si="8"/>
        <v>2</v>
      </c>
    </row>
    <row r="30" spans="1:36" x14ac:dyDescent="0.25">
      <c r="A30" s="299">
        <v>2005</v>
      </c>
      <c r="B30" s="292">
        <v>0.99741630000000003</v>
      </c>
      <c r="C30" s="292">
        <v>0.99787864999999998</v>
      </c>
      <c r="D30" s="292">
        <v>0.99746573999999999</v>
      </c>
      <c r="E30" s="292">
        <v>0.99746573999999999</v>
      </c>
      <c r="F30" s="292">
        <v>0.99746573999999999</v>
      </c>
      <c r="G30" s="292">
        <v>0.99746573999999999</v>
      </c>
      <c r="H30" s="292">
        <v>0.99746573999999999</v>
      </c>
      <c r="I30" s="292">
        <v>0.99746573999999999</v>
      </c>
      <c r="J30" s="292">
        <v>0.99746573999999999</v>
      </c>
      <c r="K30" s="292">
        <v>0.99695590000000001</v>
      </c>
      <c r="L30" s="292">
        <v>0.99827999999999995</v>
      </c>
      <c r="M30" s="293">
        <v>0.9990772</v>
      </c>
      <c r="N30" s="294">
        <f t="shared" si="2"/>
        <v>0.99765568583333319</v>
      </c>
      <c r="O30" s="109">
        <f t="shared" si="3"/>
        <v>8760</v>
      </c>
      <c r="P30" s="148">
        <f t="shared" si="4"/>
        <v>20.536192100001216</v>
      </c>
      <c r="Q30" s="283">
        <f t="shared" si="1"/>
        <v>14.860800000000836</v>
      </c>
      <c r="R30" s="284">
        <f t="shared" si="5"/>
        <v>5.67539210000038</v>
      </c>
      <c r="S30" s="126">
        <f t="shared" si="6"/>
        <v>22134029.19000148</v>
      </c>
      <c r="X30" t="s">
        <v>268</v>
      </c>
      <c r="Y30" s="292">
        <v>0.99730229999999997</v>
      </c>
      <c r="Z30">
        <f t="shared" si="8"/>
        <v>3</v>
      </c>
    </row>
    <row r="31" spans="1:36" x14ac:dyDescent="0.25">
      <c r="A31" s="299">
        <v>2006</v>
      </c>
      <c r="B31" s="293">
        <v>0.9990772</v>
      </c>
      <c r="C31" s="292">
        <v>0.99819440000000004</v>
      </c>
      <c r="D31" s="293">
        <v>0.99860729999999998</v>
      </c>
      <c r="E31" s="292">
        <v>0.99804599999999999</v>
      </c>
      <c r="F31" s="292">
        <v>0.99804599999999999</v>
      </c>
      <c r="G31" s="292">
        <v>0.99804599999999999</v>
      </c>
      <c r="H31" s="292">
        <v>0.99743910000000002</v>
      </c>
      <c r="I31" s="292">
        <v>0.996699</v>
      </c>
      <c r="J31" s="292">
        <v>0.996699</v>
      </c>
      <c r="K31" s="292">
        <v>0.99720894000000004</v>
      </c>
      <c r="L31" s="292">
        <v>0.99664569999999997</v>
      </c>
      <c r="M31" s="292">
        <v>0.99664569999999997</v>
      </c>
      <c r="N31" s="294">
        <f t="shared" si="2"/>
        <v>0.99761286166666674</v>
      </c>
      <c r="O31" s="109">
        <f t="shared" si="3"/>
        <v>8760</v>
      </c>
      <c r="P31" s="148">
        <f t="shared" si="4"/>
        <v>20.911331799999363</v>
      </c>
      <c r="Q31" s="283">
        <f t="shared" si="1"/>
        <v>14.860800000000836</v>
      </c>
      <c r="R31" s="284">
        <f t="shared" si="5"/>
        <v>6.0505317999985273</v>
      </c>
      <c r="S31" s="126">
        <f t="shared" si="6"/>
        <v>23597074.019994255</v>
      </c>
      <c r="X31" t="s">
        <v>269</v>
      </c>
      <c r="Y31" s="292">
        <v>0.99741630000000003</v>
      </c>
      <c r="Z31">
        <f t="shared" si="8"/>
        <v>3</v>
      </c>
    </row>
    <row r="32" spans="1:36" x14ac:dyDescent="0.25">
      <c r="A32" s="299">
        <v>2007</v>
      </c>
      <c r="B32" s="292">
        <v>0.99664569999999997</v>
      </c>
      <c r="C32" s="292">
        <v>0.99681885000000003</v>
      </c>
      <c r="D32" s="292">
        <v>0.99738013999999997</v>
      </c>
      <c r="E32" s="292">
        <v>0.99734780000000001</v>
      </c>
      <c r="F32" s="292">
        <v>0.99660959999999998</v>
      </c>
      <c r="G32" s="292">
        <v>0.99646310000000005</v>
      </c>
      <c r="H32" s="292">
        <v>0.99646310000000005</v>
      </c>
      <c r="I32" s="292">
        <v>0.99720319999999996</v>
      </c>
      <c r="J32" s="292">
        <v>0.99636029999999998</v>
      </c>
      <c r="K32" s="292">
        <v>0.99636029999999998</v>
      </c>
      <c r="L32" s="292">
        <v>0.99575530000000001</v>
      </c>
      <c r="M32" s="292">
        <v>0.99575530000000001</v>
      </c>
      <c r="N32" s="294">
        <f t="shared" si="2"/>
        <v>0.99659689083333325</v>
      </c>
      <c r="O32" s="109">
        <f t="shared" si="3"/>
        <v>8760</v>
      </c>
      <c r="P32" s="148">
        <f t="shared" si="4"/>
        <v>29.81123630000074</v>
      </c>
      <c r="Q32" s="283">
        <f t="shared" si="1"/>
        <v>14.860800000000836</v>
      </c>
      <c r="R32" s="284">
        <f t="shared" si="5"/>
        <v>14.950436299999904</v>
      </c>
      <c r="S32" s="126">
        <f t="shared" si="6"/>
        <v>58306701.569999628</v>
      </c>
      <c r="X32" t="s">
        <v>270</v>
      </c>
      <c r="Y32" s="293">
        <v>0.9990772</v>
      </c>
      <c r="Z32">
        <f t="shared" si="8"/>
        <v>1</v>
      </c>
    </row>
    <row r="33" spans="1:26" x14ac:dyDescent="0.25">
      <c r="A33" s="299">
        <v>2008</v>
      </c>
      <c r="B33" s="292">
        <v>0.99575530000000001</v>
      </c>
      <c r="C33" s="292">
        <v>0.99646500000000005</v>
      </c>
      <c r="D33" s="292">
        <v>0.99493529999999997</v>
      </c>
      <c r="E33" s="292">
        <v>0.99482309999999996</v>
      </c>
      <c r="F33" s="292">
        <v>0.99556129999999998</v>
      </c>
      <c r="G33" s="292">
        <v>0.99570970000000003</v>
      </c>
      <c r="H33" s="292">
        <v>0.99444630000000001</v>
      </c>
      <c r="I33" s="292">
        <v>0.99329529999999999</v>
      </c>
      <c r="J33" s="292">
        <v>0.99413810000000002</v>
      </c>
      <c r="K33" s="292">
        <v>0.99344180000000004</v>
      </c>
      <c r="L33" s="292">
        <v>0.99460999999999999</v>
      </c>
      <c r="M33" s="292">
        <v>0.99364160000000001</v>
      </c>
      <c r="N33" s="294">
        <f t="shared" si="2"/>
        <v>0.99473523333333336</v>
      </c>
      <c r="O33" s="109">
        <f t="shared" si="3"/>
        <v>8760</v>
      </c>
      <c r="P33" s="148">
        <f t="shared" si="4"/>
        <v>46.11935599999979</v>
      </c>
      <c r="Q33" s="283">
        <f t="shared" si="1"/>
        <v>14.860800000000836</v>
      </c>
      <c r="R33" s="284">
        <f t="shared" si="5"/>
        <v>31.258555999998954</v>
      </c>
      <c r="S33" s="126">
        <f t="shared" si="6"/>
        <v>121908368.39999592</v>
      </c>
      <c r="X33" t="s">
        <v>271</v>
      </c>
      <c r="Y33" s="292">
        <v>0.99664569999999997</v>
      </c>
      <c r="Z33">
        <f t="shared" si="8"/>
        <v>4</v>
      </c>
    </row>
    <row r="34" spans="1:26" x14ac:dyDescent="0.25">
      <c r="A34" s="299">
        <v>2009</v>
      </c>
      <c r="B34" s="292">
        <v>0.99271120000000002</v>
      </c>
      <c r="C34" s="292">
        <v>0.99271120000000002</v>
      </c>
      <c r="D34" s="292">
        <v>0.99271120000000002</v>
      </c>
      <c r="E34" s="292">
        <v>0.99178460000000002</v>
      </c>
      <c r="F34" s="292">
        <v>0.99178460000000002</v>
      </c>
      <c r="G34" s="292">
        <v>0.9894695</v>
      </c>
      <c r="H34" s="292">
        <v>0.99073290000000003</v>
      </c>
      <c r="I34" s="292">
        <v>0.99188390000000004</v>
      </c>
      <c r="J34" s="292">
        <v>0.99188390000000004</v>
      </c>
      <c r="K34" s="292">
        <v>0.98956469999999996</v>
      </c>
      <c r="L34" s="292">
        <v>0.99212135000000001</v>
      </c>
      <c r="M34" s="292">
        <v>0.99053314000000003</v>
      </c>
      <c r="N34" s="294">
        <f t="shared" si="2"/>
        <v>0.99149101583333354</v>
      </c>
      <c r="O34" s="109">
        <f t="shared" si="3"/>
        <v>8760</v>
      </c>
      <c r="P34" s="148">
        <f t="shared" si="4"/>
        <v>74.538701299998152</v>
      </c>
      <c r="Q34" s="283">
        <f t="shared" si="1"/>
        <v>14.860800000000836</v>
      </c>
      <c r="R34" s="284">
        <f t="shared" si="5"/>
        <v>59.677901299997316</v>
      </c>
      <c r="S34" s="126">
        <f t="shared" si="6"/>
        <v>232743815.06998953</v>
      </c>
      <c r="X34" t="s">
        <v>272</v>
      </c>
      <c r="Y34" s="292">
        <v>0.99575530000000001</v>
      </c>
      <c r="Z34">
        <f t="shared" si="8"/>
        <v>5</v>
      </c>
    </row>
    <row r="35" spans="1:26" x14ac:dyDescent="0.25">
      <c r="A35" s="299">
        <v>2010</v>
      </c>
      <c r="B35" s="292">
        <v>0.99146350000000005</v>
      </c>
      <c r="C35" s="292">
        <v>0.99146350000000005</v>
      </c>
      <c r="D35" s="292">
        <v>0.99146350000000005</v>
      </c>
      <c r="E35" s="292">
        <v>0.99406430000000001</v>
      </c>
      <c r="F35" s="292">
        <v>0.99284859999999997</v>
      </c>
      <c r="G35" s="292">
        <v>0.99576865999999997</v>
      </c>
      <c r="H35" s="292">
        <v>0.99576865999999997</v>
      </c>
      <c r="I35" s="292">
        <v>0.99576865999999997</v>
      </c>
      <c r="J35" s="292">
        <v>0.99576865999999997</v>
      </c>
      <c r="K35" s="292">
        <v>0.99813929999999995</v>
      </c>
      <c r="L35" s="292">
        <v>0.99813929999999995</v>
      </c>
      <c r="M35" s="292">
        <v>0.99813929999999995</v>
      </c>
      <c r="N35" s="294">
        <f t="shared" si="2"/>
        <v>0.99489966166666655</v>
      </c>
      <c r="O35" s="109">
        <f t="shared" si="3"/>
        <v>8760</v>
      </c>
      <c r="P35" s="148">
        <f t="shared" si="4"/>
        <v>44.678963800001057</v>
      </c>
      <c r="Q35" s="283">
        <f t="shared" si="1"/>
        <v>14.860800000000836</v>
      </c>
      <c r="R35" s="284">
        <f t="shared" si="5"/>
        <v>29.818163800000221</v>
      </c>
      <c r="S35" s="126">
        <f t="shared" si="6"/>
        <v>116290838.82000086</v>
      </c>
      <c r="X35" t="s">
        <v>273</v>
      </c>
      <c r="Y35" s="292">
        <v>0.99271120000000002</v>
      </c>
      <c r="Z35">
        <f t="shared" si="8"/>
        <v>8</v>
      </c>
    </row>
    <row r="36" spans="1:26" x14ac:dyDescent="0.25">
      <c r="A36" s="299">
        <v>2011</v>
      </c>
      <c r="B36" s="292">
        <v>0.99464180000000002</v>
      </c>
      <c r="C36" s="292">
        <v>0.99464180000000002</v>
      </c>
      <c r="D36" s="292">
        <v>0.99464180000000002</v>
      </c>
      <c r="E36" s="292">
        <v>0.99464180000000002</v>
      </c>
      <c r="F36" s="292">
        <v>0.99394165000000001</v>
      </c>
      <c r="G36" s="292">
        <v>0.99251089999999997</v>
      </c>
      <c r="H36" s="292">
        <v>0.99251089999999997</v>
      </c>
      <c r="I36" s="292">
        <v>0.99251089999999997</v>
      </c>
      <c r="J36" s="292"/>
      <c r="K36" s="292"/>
      <c r="L36" s="292"/>
      <c r="M36" s="292"/>
      <c r="N36" s="294">
        <f t="shared" si="2"/>
        <v>0.9937551937500001</v>
      </c>
      <c r="O36" s="109">
        <f t="shared" si="3"/>
        <v>8760</v>
      </c>
      <c r="P36" s="148">
        <f t="shared" si="4"/>
        <v>54.704502749999136</v>
      </c>
      <c r="Q36" s="283">
        <f t="shared" si="1"/>
        <v>14.860800000000836</v>
      </c>
      <c r="R36" s="284">
        <f t="shared" si="5"/>
        <v>39.8437027499983</v>
      </c>
      <c r="S36" s="126">
        <f t="shared" si="6"/>
        <v>155390440.72499338</v>
      </c>
      <c r="X36" t="s">
        <v>274</v>
      </c>
      <c r="Y36" s="292">
        <v>0.99146350000000005</v>
      </c>
      <c r="Z36">
        <f t="shared" si="8"/>
        <v>8</v>
      </c>
    </row>
    <row r="37" spans="1:26" x14ac:dyDescent="0.25">
      <c r="A37" s="299">
        <v>2012</v>
      </c>
      <c r="B37" s="292">
        <f t="shared" ref="B37:M37" si="9">NORMINV($Q$19,B119,B78)</f>
        <v>0.99421051894171142</v>
      </c>
      <c r="C37" s="292">
        <f t="shared" si="9"/>
        <v>0.99427626743855169</v>
      </c>
      <c r="D37" s="292">
        <f t="shared" si="9"/>
        <v>0.99413854902071197</v>
      </c>
      <c r="E37" s="292">
        <f t="shared" si="9"/>
        <v>0.99451639839339434</v>
      </c>
      <c r="F37" s="292">
        <f t="shared" si="9"/>
        <v>0.99417397408182662</v>
      </c>
      <c r="G37" s="292">
        <f t="shared" si="9"/>
        <v>0.99369517871074975</v>
      </c>
      <c r="H37" s="292">
        <f t="shared" si="9"/>
        <v>0.99387082133572024</v>
      </c>
      <c r="I37" s="292">
        <f t="shared" si="9"/>
        <v>0.9939611227441808</v>
      </c>
      <c r="J37" s="292">
        <f t="shared" si="9"/>
        <v>0.99466273623927814</v>
      </c>
      <c r="K37" s="292">
        <f t="shared" si="9"/>
        <v>0.99403711610941947</v>
      </c>
      <c r="L37" s="292">
        <f t="shared" si="9"/>
        <v>0.99498208988825954</v>
      </c>
      <c r="M37" s="292">
        <f t="shared" si="9"/>
        <v>0.99425643666688668</v>
      </c>
      <c r="N37" s="294">
        <f t="shared" si="2"/>
        <v>0.99423176746422415</v>
      </c>
      <c r="O37" s="109">
        <f t="shared" si="3"/>
        <v>8760</v>
      </c>
      <c r="P37" s="148">
        <f t="shared" ref="P37:P54" si="10">(1-N37)*O37</f>
        <v>50.529717013396464</v>
      </c>
      <c r="Q37" s="283">
        <f t="shared" ref="Q37:Q75" si="11">$B$170</f>
        <v>14.860800000000836</v>
      </c>
      <c r="R37" s="284">
        <f t="shared" ref="R37:R54" si="12">P37-Q37</f>
        <v>35.668917013395628</v>
      </c>
      <c r="S37" s="126">
        <f t="shared" ref="S37:S54" si="13">IF(R37&lt;0,0,R37*$Q$21)</f>
        <v>139108776.35224295</v>
      </c>
      <c r="X37" t="s">
        <v>275</v>
      </c>
      <c r="Y37" s="292">
        <v>0.99464180000000002</v>
      </c>
      <c r="Z37">
        <f t="shared" si="8"/>
        <v>6</v>
      </c>
    </row>
    <row r="38" spans="1:26" x14ac:dyDescent="0.25">
      <c r="A38" s="299">
        <v>2013</v>
      </c>
      <c r="B38" s="292">
        <f t="shared" ref="B38:M38" si="14">NORMINV($Q$19,B120,B79)</f>
        <v>0.99407383699084173</v>
      </c>
      <c r="C38" s="292">
        <f t="shared" si="14"/>
        <v>0.9941440073344433</v>
      </c>
      <c r="D38" s="292">
        <f t="shared" si="14"/>
        <v>0.99400198172844056</v>
      </c>
      <c r="E38" s="292">
        <f t="shared" si="14"/>
        <v>0.99439564856488005</v>
      </c>
      <c r="F38" s="292">
        <f t="shared" si="14"/>
        <v>0.99404194201897933</v>
      </c>
      <c r="G38" s="292">
        <f t="shared" si="14"/>
        <v>0.99353597890045797</v>
      </c>
      <c r="H38" s="292">
        <f t="shared" si="14"/>
        <v>0.993727111697017</v>
      </c>
      <c r="I38" s="292">
        <f t="shared" si="14"/>
        <v>0.99382348682801025</v>
      </c>
      <c r="J38" s="292">
        <f t="shared" si="14"/>
        <v>0.99452709042798715</v>
      </c>
      <c r="K38" s="292">
        <f t="shared" si="14"/>
        <v>0.99386053864654089</v>
      </c>
      <c r="L38" s="292">
        <f t="shared" si="14"/>
        <v>0.99485090926836217</v>
      </c>
      <c r="M38" s="292">
        <f t="shared" si="14"/>
        <v>0.99409451128959014</v>
      </c>
      <c r="N38" s="294">
        <f t="shared" si="2"/>
        <v>0.99408975364129581</v>
      </c>
      <c r="O38" s="109">
        <f t="shared" si="3"/>
        <v>8760</v>
      </c>
      <c r="P38" s="148">
        <f t="shared" si="10"/>
        <v>51.773758102248664</v>
      </c>
      <c r="Q38" s="283">
        <f t="shared" si="11"/>
        <v>14.860800000000836</v>
      </c>
      <c r="R38" s="284">
        <f t="shared" si="12"/>
        <v>36.912958102247828</v>
      </c>
      <c r="S38" s="126">
        <f t="shared" si="13"/>
        <v>143960536.59876654</v>
      </c>
      <c r="X38" t="s">
        <v>276</v>
      </c>
      <c r="Y38" s="292"/>
      <c r="Z38">
        <f t="shared" si="8"/>
        <v>9</v>
      </c>
    </row>
    <row r="39" spans="1:26" x14ac:dyDescent="0.25">
      <c r="A39" s="299">
        <v>2014</v>
      </c>
      <c r="B39" s="292">
        <f t="shared" ref="B39:M39" si="15">NORMINV($Q$19,B121,B80)</f>
        <v>0.99394908670668347</v>
      </c>
      <c r="C39" s="292">
        <f t="shared" si="15"/>
        <v>0.99402329289142166</v>
      </c>
      <c r="D39" s="292">
        <f t="shared" si="15"/>
        <v>0.99387733609374485</v>
      </c>
      <c r="E39" s="292">
        <f t="shared" si="15"/>
        <v>0.99428543960661342</v>
      </c>
      <c r="F39" s="292">
        <f t="shared" si="15"/>
        <v>0.99392143571033065</v>
      </c>
      <c r="G39" s="292">
        <f t="shared" si="15"/>
        <v>0.99339067645602053</v>
      </c>
      <c r="H39" s="292">
        <f t="shared" si="15"/>
        <v>0.9935959472078475</v>
      </c>
      <c r="I39" s="292">
        <f t="shared" si="15"/>
        <v>0.99369786585506237</v>
      </c>
      <c r="J39" s="292">
        <f t="shared" si="15"/>
        <v>0.9944042561485944</v>
      </c>
      <c r="K39" s="292">
        <f t="shared" si="15"/>
        <v>0.99370063864518265</v>
      </c>
      <c r="L39" s="292">
        <f t="shared" si="15"/>
        <v>0.99473211845011267</v>
      </c>
      <c r="M39" s="292">
        <f t="shared" si="15"/>
        <v>0.99394787950755226</v>
      </c>
      <c r="N39" s="294">
        <f t="shared" si="2"/>
        <v>0.9939604977732639</v>
      </c>
      <c r="O39" s="109">
        <f t="shared" si="3"/>
        <v>8760</v>
      </c>
      <c r="P39" s="148">
        <f t="shared" si="10"/>
        <v>52.906039506208273</v>
      </c>
      <c r="Q39" s="283">
        <f t="shared" si="11"/>
        <v>14.860800000000836</v>
      </c>
      <c r="R39" s="284">
        <f t="shared" si="12"/>
        <v>38.045239506207437</v>
      </c>
      <c r="S39" s="126">
        <f t="shared" si="13"/>
        <v>148376434.074209</v>
      </c>
      <c r="X39" t="s">
        <v>277</v>
      </c>
      <c r="Y39" s="292">
        <f>99.75875/100</f>
        <v>0.99758750000000007</v>
      </c>
      <c r="Z39">
        <f t="shared" si="8"/>
        <v>3</v>
      </c>
    </row>
    <row r="40" spans="1:26" x14ac:dyDescent="0.25">
      <c r="A40" s="299">
        <v>2015</v>
      </c>
      <c r="B40" s="292">
        <f t="shared" ref="B40:M40" si="16">NORMINV($Q$19,B122,B81)</f>
        <v>0.99383445899852185</v>
      </c>
      <c r="C40" s="292">
        <f t="shared" si="16"/>
        <v>0.99391237354531414</v>
      </c>
      <c r="D40" s="292">
        <f t="shared" si="16"/>
        <v>0.99376280454350485</v>
      </c>
      <c r="E40" s="292">
        <f t="shared" si="16"/>
        <v>0.994184173301769</v>
      </c>
      <c r="F40" s="292">
        <f t="shared" si="16"/>
        <v>0.99381070761000923</v>
      </c>
      <c r="G40" s="292">
        <f t="shared" si="16"/>
        <v>0.99325716424553923</v>
      </c>
      <c r="H40" s="292">
        <f t="shared" si="16"/>
        <v>0.99347542576064485</v>
      </c>
      <c r="I40" s="292">
        <f t="shared" si="16"/>
        <v>0.99358243810815827</v>
      </c>
      <c r="J40" s="292">
        <f t="shared" si="16"/>
        <v>0.99429214470183003</v>
      </c>
      <c r="K40" s="292">
        <f t="shared" si="16"/>
        <v>0.9935546971329392</v>
      </c>
      <c r="L40" s="292">
        <f t="shared" si="16"/>
        <v>0.99462369749008306</v>
      </c>
      <c r="M40" s="292">
        <f t="shared" si="16"/>
        <v>0.9938140479638885</v>
      </c>
      <c r="N40" s="294">
        <f t="shared" si="2"/>
        <v>0.99384201111685033</v>
      </c>
      <c r="O40" s="109">
        <f t="shared" si="3"/>
        <v>8760</v>
      </c>
      <c r="P40" s="148">
        <f t="shared" si="10"/>
        <v>53.943982616391089</v>
      </c>
      <c r="Q40" s="283">
        <f t="shared" si="11"/>
        <v>14.860800000000836</v>
      </c>
      <c r="R40" s="284">
        <f t="shared" si="12"/>
        <v>39.083182616390253</v>
      </c>
      <c r="S40" s="126">
        <f t="shared" si="13"/>
        <v>152424412.20392197</v>
      </c>
      <c r="X40" t="s">
        <v>278</v>
      </c>
      <c r="Y40" s="292">
        <v>0.9972394</v>
      </c>
      <c r="Z40">
        <f t="shared" si="8"/>
        <v>3</v>
      </c>
    </row>
    <row r="41" spans="1:26" x14ac:dyDescent="0.25">
      <c r="A41" s="299">
        <v>2016</v>
      </c>
      <c r="B41" s="292">
        <f t="shared" ref="B41:M41" si="17">NORMINV($Q$19,B123,B82)</f>
        <v>0.99372851964681963</v>
      </c>
      <c r="C41" s="292">
        <f t="shared" si="17"/>
        <v>0.9938098614755333</v>
      </c>
      <c r="D41" s="292">
        <f t="shared" si="17"/>
        <v>0.99365695406130916</v>
      </c>
      <c r="E41" s="292">
        <f t="shared" si="17"/>
        <v>0.99409058260841421</v>
      </c>
      <c r="F41" s="292">
        <f t="shared" si="17"/>
        <v>0.99370837229029108</v>
      </c>
      <c r="G41" s="292">
        <f t="shared" si="17"/>
        <v>0.99313377176697026</v>
      </c>
      <c r="H41" s="292">
        <f t="shared" si="17"/>
        <v>0.99336403939352957</v>
      </c>
      <c r="I41" s="292">
        <f t="shared" si="17"/>
        <v>0.99347575935769195</v>
      </c>
      <c r="J41" s="292">
        <f t="shared" si="17"/>
        <v>0.9941891302815582</v>
      </c>
      <c r="K41" s="292">
        <f t="shared" si="17"/>
        <v>0.99342059771034463</v>
      </c>
      <c r="L41" s="292">
        <f t="shared" si="17"/>
        <v>0.99452407410045529</v>
      </c>
      <c r="M41" s="292">
        <f t="shared" si="17"/>
        <v>0.99369107587421812</v>
      </c>
      <c r="N41" s="294">
        <f t="shared" si="2"/>
        <v>0.99373272821392789</v>
      </c>
      <c r="O41" s="109">
        <f t="shared" si="3"/>
        <v>8760</v>
      </c>
      <c r="P41" s="148">
        <f t="shared" si="10"/>
        <v>54.901300845991727</v>
      </c>
      <c r="Q41" s="283">
        <f t="shared" si="11"/>
        <v>14.860800000000836</v>
      </c>
      <c r="R41" s="284">
        <f t="shared" si="12"/>
        <v>40.040500845990891</v>
      </c>
      <c r="S41" s="126">
        <f t="shared" si="13"/>
        <v>156157953.29936448</v>
      </c>
      <c r="X41" t="s">
        <v>279</v>
      </c>
      <c r="Y41" s="293">
        <v>0.99882800000000005</v>
      </c>
      <c r="Z41">
        <f t="shared" si="8"/>
        <v>2</v>
      </c>
    </row>
    <row r="42" spans="1:26" x14ac:dyDescent="0.25">
      <c r="A42" s="299">
        <v>2017</v>
      </c>
      <c r="B42" s="292">
        <f t="shared" ref="B42:M42" si="18">NORMINV($Q$19,B124,B83)</f>
        <v>0.99363011344269447</v>
      </c>
      <c r="C42" s="292">
        <f t="shared" si="18"/>
        <v>0.9937146388457736</v>
      </c>
      <c r="D42" s="292">
        <f t="shared" si="18"/>
        <v>0.99355863040734782</v>
      </c>
      <c r="E42" s="292">
        <f t="shared" si="18"/>
        <v>0.99400364697282206</v>
      </c>
      <c r="F42" s="292">
        <f t="shared" si="18"/>
        <v>0.99361331384223017</v>
      </c>
      <c r="G42" s="292">
        <f t="shared" si="18"/>
        <v>0.99301915349492664</v>
      </c>
      <c r="H42" s="292">
        <f t="shared" si="18"/>
        <v>0.99326057350098862</v>
      </c>
      <c r="I42" s="292">
        <f t="shared" si="18"/>
        <v>0.99337666633205512</v>
      </c>
      <c r="J42" s="292">
        <f t="shared" si="18"/>
        <v>0.99409392397346219</v>
      </c>
      <c r="K42" s="292">
        <f t="shared" si="18"/>
        <v>0.99329666252816928</v>
      </c>
      <c r="L42" s="292">
        <f t="shared" si="18"/>
        <v>0.99443200179541824</v>
      </c>
      <c r="M42" s="292">
        <f t="shared" si="18"/>
        <v>0.99357742461427323</v>
      </c>
      <c r="N42" s="294">
        <f t="shared" si="2"/>
        <v>0.99363139581251347</v>
      </c>
      <c r="O42" s="109">
        <f t="shared" si="3"/>
        <v>8760</v>
      </c>
      <c r="P42" s="148">
        <f t="shared" si="10"/>
        <v>55.788972682381967</v>
      </c>
      <c r="Q42" s="283">
        <f t="shared" si="11"/>
        <v>14.860800000000836</v>
      </c>
      <c r="R42" s="284">
        <f t="shared" si="12"/>
        <v>40.928172682381131</v>
      </c>
      <c r="S42" s="126">
        <f t="shared" si="13"/>
        <v>159619873.46128643</v>
      </c>
      <c r="X42" t="s">
        <v>280</v>
      </c>
      <c r="Y42" s="292">
        <v>0.99683999999999995</v>
      </c>
      <c r="Z42">
        <f t="shared" si="8"/>
        <v>4</v>
      </c>
    </row>
    <row r="43" spans="1:26" x14ac:dyDescent="0.25">
      <c r="A43" s="299">
        <v>2018</v>
      </c>
      <c r="B43" s="292">
        <f t="shared" ref="B43:M43" si="19">NORMINV($Q$19,B125,B84)</f>
        <v>0.99353829692965834</v>
      </c>
      <c r="C43" s="292">
        <f t="shared" si="19"/>
        <v>0.99362579272164564</v>
      </c>
      <c r="D43" s="292">
        <f t="shared" si="19"/>
        <v>0.99346689091657103</v>
      </c>
      <c r="E43" s="292">
        <f t="shared" si="19"/>
        <v>0.99392253291106525</v>
      </c>
      <c r="F43" s="292">
        <f t="shared" si="19"/>
        <v>0.99352462090550753</v>
      </c>
      <c r="G43" s="292">
        <f t="shared" si="19"/>
        <v>0.9929122105418593</v>
      </c>
      <c r="H43" s="292">
        <f t="shared" si="19"/>
        <v>0.99316403611743909</v>
      </c>
      <c r="I43" s="292">
        <f t="shared" si="19"/>
        <v>0.99328420898994874</v>
      </c>
      <c r="J43" s="292">
        <f t="shared" si="19"/>
        <v>0.99400548760644702</v>
      </c>
      <c r="K43" s="292">
        <f t="shared" si="19"/>
        <v>0.99318154014314974</v>
      </c>
      <c r="L43" s="292">
        <f t="shared" si="19"/>
        <v>0.99434647657841302</v>
      </c>
      <c r="M43" s="292">
        <f t="shared" si="19"/>
        <v>0.99347185488116196</v>
      </c>
      <c r="N43" s="294">
        <f t="shared" si="2"/>
        <v>0.99353699577023891</v>
      </c>
      <c r="O43" s="109">
        <f t="shared" si="3"/>
        <v>8760</v>
      </c>
      <c r="P43" s="148">
        <f t="shared" si="10"/>
        <v>56.615917052707175</v>
      </c>
      <c r="Q43" s="283">
        <f t="shared" si="11"/>
        <v>14.860800000000836</v>
      </c>
      <c r="R43" s="284">
        <f t="shared" si="12"/>
        <v>41.755117052706339</v>
      </c>
      <c r="S43" s="126">
        <f t="shared" si="13"/>
        <v>162844956.50555474</v>
      </c>
      <c r="X43" t="s">
        <v>281</v>
      </c>
      <c r="Y43" s="292">
        <v>0.99787864999999998</v>
      </c>
      <c r="Z43">
        <f t="shared" si="8"/>
        <v>3</v>
      </c>
    </row>
    <row r="44" spans="1:26" x14ac:dyDescent="0.25">
      <c r="A44" s="299">
        <v>2019</v>
      </c>
      <c r="B44" s="292">
        <f t="shared" ref="B44:M44" si="20">NORMINV($Q$19,B126,B85)</f>
        <v>0.99345229013267911</v>
      </c>
      <c r="C44" s="292">
        <f t="shared" si="20"/>
        <v>0.99354256836136901</v>
      </c>
      <c r="D44" s="292">
        <f t="shared" si="20"/>
        <v>0.99338095626824596</v>
      </c>
      <c r="E44" s="292">
        <f t="shared" si="20"/>
        <v>0.99384655136470734</v>
      </c>
      <c r="F44" s="292">
        <f t="shared" si="20"/>
        <v>0.99344154003965957</v>
      </c>
      <c r="G44" s="292">
        <f t="shared" si="20"/>
        <v>0.9928120344346576</v>
      </c>
      <c r="H44" s="292">
        <f t="shared" si="20"/>
        <v>0.99307360716437498</v>
      </c>
      <c r="I44" s="292">
        <f t="shared" si="20"/>
        <v>0.99319760191254158</v>
      </c>
      <c r="J44" s="292">
        <f t="shared" si="20"/>
        <v>0.9939229733085212</v>
      </c>
      <c r="K44" s="292">
        <f t="shared" si="20"/>
        <v>0.99307412683462037</v>
      </c>
      <c r="L44" s="292">
        <f t="shared" si="20"/>
        <v>0.99426667848771433</v>
      </c>
      <c r="M44" s="292">
        <f t="shared" si="20"/>
        <v>0.99337335453900755</v>
      </c>
      <c r="N44" s="294">
        <f t="shared" si="2"/>
        <v>0.9934486902373415</v>
      </c>
      <c r="O44" s="109">
        <f t="shared" si="3"/>
        <v>8760</v>
      </c>
      <c r="P44" s="148">
        <f t="shared" si="10"/>
        <v>57.389473520888437</v>
      </c>
      <c r="Q44" s="283">
        <f t="shared" si="11"/>
        <v>14.860800000000836</v>
      </c>
      <c r="R44" s="284">
        <f t="shared" si="12"/>
        <v>42.528673520887601</v>
      </c>
      <c r="S44" s="126">
        <f t="shared" si="13"/>
        <v>165861826.73146164</v>
      </c>
      <c r="X44" t="s">
        <v>282</v>
      </c>
      <c r="Y44" s="292">
        <v>0.99819440000000004</v>
      </c>
      <c r="Z44">
        <f t="shared" si="8"/>
        <v>2</v>
      </c>
    </row>
    <row r="45" spans="1:26" x14ac:dyDescent="0.25">
      <c r="A45" s="299">
        <v>2020</v>
      </c>
      <c r="B45" s="292">
        <f t="shared" ref="B45:M45" si="21">NORMINV($Q$19,B127,B86)</f>
        <v>0.99337144121562315</v>
      </c>
      <c r="C45" s="292">
        <f t="shared" si="21"/>
        <v>0.99346433501659415</v>
      </c>
      <c r="D45" s="292">
        <f t="shared" si="21"/>
        <v>0.99330017517304525</v>
      </c>
      <c r="E45" s="292">
        <f t="shared" si="21"/>
        <v>0.99377512647789568</v>
      </c>
      <c r="F45" s="292">
        <f t="shared" si="21"/>
        <v>0.99336344158386525</v>
      </c>
      <c r="G45" s="292">
        <f t="shared" si="21"/>
        <v>0.99271786594953038</v>
      </c>
      <c r="H45" s="292">
        <f t="shared" si="21"/>
        <v>0.99298860129062394</v>
      </c>
      <c r="I45" s="292">
        <f t="shared" si="21"/>
        <v>0.99311618871424001</v>
      </c>
      <c r="J45" s="292">
        <f t="shared" si="21"/>
        <v>0.99384568012633745</v>
      </c>
      <c r="K45" s="292">
        <f t="shared" si="21"/>
        <v>0.99297351013383239</v>
      </c>
      <c r="L45" s="292">
        <f t="shared" si="21"/>
        <v>0.99419192964397052</v>
      </c>
      <c r="M45" s="292">
        <f t="shared" si="21"/>
        <v>0.99328108683410432</v>
      </c>
      <c r="N45" s="294">
        <f t="shared" si="2"/>
        <v>0.99336578184663871</v>
      </c>
      <c r="O45" s="109">
        <f t="shared" si="3"/>
        <v>8760</v>
      </c>
      <c r="P45" s="148">
        <f t="shared" si="10"/>
        <v>58.115751023444929</v>
      </c>
      <c r="Q45" s="283">
        <f t="shared" si="11"/>
        <v>14.860800000000836</v>
      </c>
      <c r="R45" s="284">
        <f t="shared" si="12"/>
        <v>43.254951023444093</v>
      </c>
      <c r="S45" s="126">
        <f t="shared" si="13"/>
        <v>168694308.99143195</v>
      </c>
      <c r="X45" t="s">
        <v>283</v>
      </c>
      <c r="Y45" s="292">
        <v>0.99681885000000003</v>
      </c>
      <c r="Z45">
        <f t="shared" si="8"/>
        <v>4</v>
      </c>
    </row>
    <row r="46" spans="1:26" x14ac:dyDescent="0.25">
      <c r="A46" s="299">
        <v>2021</v>
      </c>
      <c r="B46" s="292">
        <f t="shared" ref="B46:M46" si="22">NORMINV($Q$19,B128,B87)</f>
        <v>0.99329520014163175</v>
      </c>
      <c r="C46" s="292">
        <f t="shared" si="22"/>
        <v>0.99339056044490215</v>
      </c>
      <c r="D46" s="292">
        <f t="shared" si="22"/>
        <v>0.99322399805552075</v>
      </c>
      <c r="E46" s="292">
        <f t="shared" si="22"/>
        <v>0.99370777232797602</v>
      </c>
      <c r="F46" s="292">
        <f t="shared" si="22"/>
        <v>0.99328979421339159</v>
      </c>
      <c r="G46" s="292">
        <f t="shared" si="22"/>
        <v>0.99262906443302712</v>
      </c>
      <c r="H46" s="292">
        <f t="shared" si="22"/>
        <v>0.99290844017843671</v>
      </c>
      <c r="I46" s="292">
        <f t="shared" si="22"/>
        <v>0.99303941551922881</v>
      </c>
      <c r="J46" s="292">
        <f t="shared" si="22"/>
        <v>0.99377302226329811</v>
      </c>
      <c r="K46" s="292">
        <f t="shared" si="22"/>
        <v>0.99287892747778461</v>
      </c>
      <c r="L46" s="292">
        <f t="shared" si="22"/>
        <v>0.99412166353384745</v>
      </c>
      <c r="M46" s="292">
        <f t="shared" si="22"/>
        <v>0.99319435247958043</v>
      </c>
      <c r="N46" s="294">
        <f t="shared" si="2"/>
        <v>0.99328768425571878</v>
      </c>
      <c r="O46" s="109">
        <f t="shared" si="3"/>
        <v>8760</v>
      </c>
      <c r="P46" s="148">
        <f t="shared" si="10"/>
        <v>58.79988591990346</v>
      </c>
      <c r="Q46" s="283">
        <f t="shared" si="11"/>
        <v>14.860800000000836</v>
      </c>
      <c r="R46" s="284">
        <f t="shared" si="12"/>
        <v>43.939085919902624</v>
      </c>
      <c r="S46" s="126">
        <f t="shared" si="13"/>
        <v>171362435.08762023</v>
      </c>
      <c r="X46" t="s">
        <v>284</v>
      </c>
      <c r="Y46" s="292">
        <v>0.99646500000000005</v>
      </c>
      <c r="Z46">
        <f t="shared" si="8"/>
        <v>4</v>
      </c>
    </row>
    <row r="47" spans="1:26" x14ac:dyDescent="0.25">
      <c r="A47" s="299">
        <v>2022</v>
      </c>
      <c r="B47" s="292">
        <f t="shared" ref="B47:M47" si="23">NORMINV($Q$19,B129,B88)</f>
        <v>0.99322309872970915</v>
      </c>
      <c r="C47" s="292">
        <f t="shared" si="23"/>
        <v>0.99332079161158826</v>
      </c>
      <c r="D47" s="292">
        <f t="shared" si="23"/>
        <v>0.99315195712742033</v>
      </c>
      <c r="E47" s="292">
        <f t="shared" si="23"/>
        <v>0.99364407530675347</v>
      </c>
      <c r="F47" s="292">
        <f t="shared" si="23"/>
        <v>0.99322014567465067</v>
      </c>
      <c r="G47" s="292">
        <f t="shared" si="23"/>
        <v>0.99254508457301782</v>
      </c>
      <c r="H47" s="292">
        <f t="shared" si="23"/>
        <v>0.9928326315746564</v>
      </c>
      <c r="I47" s="292">
        <f t="shared" si="23"/>
        <v>0.99296681087886463</v>
      </c>
      <c r="J47" s="292">
        <f t="shared" si="23"/>
        <v>0.9937045054084811</v>
      </c>
      <c r="K47" s="292">
        <f t="shared" si="23"/>
        <v>0.99278973539531001</v>
      </c>
      <c r="L47" s="292">
        <f t="shared" si="23"/>
        <v>0.99405540211815924</v>
      </c>
      <c r="M47" s="292">
        <f t="shared" si="23"/>
        <v>0.99311256139836812</v>
      </c>
      <c r="N47" s="294">
        <f t="shared" si="2"/>
        <v>0.99321389998308141</v>
      </c>
      <c r="O47" s="109">
        <f t="shared" si="3"/>
        <v>8760</v>
      </c>
      <c r="P47" s="148">
        <f t="shared" si="10"/>
        <v>59.446236148206893</v>
      </c>
      <c r="Q47" s="283">
        <f t="shared" si="11"/>
        <v>14.860800000000836</v>
      </c>
      <c r="R47" s="284">
        <f t="shared" si="12"/>
        <v>44.585436148206057</v>
      </c>
      <c r="S47" s="126">
        <f t="shared" si="13"/>
        <v>173883200.97800362</v>
      </c>
      <c r="X47" t="s">
        <v>285</v>
      </c>
      <c r="Y47" s="292">
        <v>0.99271120000000002</v>
      </c>
      <c r="Z47">
        <f t="shared" si="8"/>
        <v>8</v>
      </c>
    </row>
    <row r="48" spans="1:26" x14ac:dyDescent="0.25">
      <c r="A48" s="299">
        <v>2023</v>
      </c>
      <c r="B48" s="292">
        <f t="shared" ref="B48:M48" si="24">NORMINV($Q$19,B130,B89)</f>
        <v>0.99315473533786613</v>
      </c>
      <c r="C48" s="292">
        <f t="shared" si="24"/>
        <v>0.99325463986832696</v>
      </c>
      <c r="D48" s="292">
        <f t="shared" si="24"/>
        <v>0.9930836510836808</v>
      </c>
      <c r="E48" s="292">
        <f t="shared" si="24"/>
        <v>0.99358368058902258</v>
      </c>
      <c r="F48" s="292">
        <f t="shared" si="24"/>
        <v>0.99315410798941994</v>
      </c>
      <c r="G48" s="292">
        <f t="shared" si="24"/>
        <v>0.99246545855844115</v>
      </c>
      <c r="H48" s="292">
        <f t="shared" si="24"/>
        <v>0.99276075318632651</v>
      </c>
      <c r="I48" s="292">
        <f t="shared" si="24"/>
        <v>0.99289797034791694</v>
      </c>
      <c r="J48" s="292">
        <f t="shared" si="24"/>
        <v>0.99363970881375629</v>
      </c>
      <c r="K48" s="292">
        <f t="shared" si="24"/>
        <v>0.99270538617589232</v>
      </c>
      <c r="L48" s="292">
        <f t="shared" si="24"/>
        <v>0.99399273849897085</v>
      </c>
      <c r="M48" s="292">
        <f t="shared" si="24"/>
        <v>0.99303521132800132</v>
      </c>
      <c r="N48" s="294">
        <f t="shared" si="2"/>
        <v>0.99314400348146847</v>
      </c>
      <c r="O48" s="109">
        <f t="shared" si="3"/>
        <v>8760</v>
      </c>
      <c r="P48" s="148">
        <f t="shared" si="10"/>
        <v>60.058529502336171</v>
      </c>
      <c r="Q48" s="283">
        <f t="shared" si="11"/>
        <v>14.860800000000836</v>
      </c>
      <c r="R48" s="284">
        <f t="shared" si="12"/>
        <v>45.197729502335335</v>
      </c>
      <c r="S48" s="126">
        <f t="shared" si="13"/>
        <v>176271145.05910781</v>
      </c>
      <c r="X48" t="s">
        <v>286</v>
      </c>
      <c r="Y48" s="292">
        <v>0.99146350000000005</v>
      </c>
      <c r="Z48">
        <f t="shared" si="8"/>
        <v>8</v>
      </c>
    </row>
    <row r="49" spans="1:26" x14ac:dyDescent="0.25">
      <c r="A49" s="299">
        <v>2024</v>
      </c>
      <c r="B49" s="292">
        <f t="shared" ref="B49:M49" si="25">NORMINV($Q$19,B131,B90)</f>
        <v>0.99308976294735885</v>
      </c>
      <c r="C49" s="292">
        <f t="shared" si="25"/>
        <v>0.99319176942290244</v>
      </c>
      <c r="D49" s="292">
        <f t="shared" si="25"/>
        <v>0.99301873319666256</v>
      </c>
      <c r="E49" s="292">
        <f t="shared" si="25"/>
        <v>0.99352628160574785</v>
      </c>
      <c r="F49" s="292">
        <f t="shared" si="25"/>
        <v>0.99309134594445192</v>
      </c>
      <c r="G49" s="292">
        <f t="shared" si="25"/>
        <v>0.99238978220046459</v>
      </c>
      <c r="H49" s="292">
        <f t="shared" si="25"/>
        <v>0.9926924401522641</v>
      </c>
      <c r="I49" s="292">
        <f t="shared" si="25"/>
        <v>0.99283254448564062</v>
      </c>
      <c r="J49" s="292">
        <f t="shared" si="25"/>
        <v>0.99357827152872746</v>
      </c>
      <c r="K49" s="292">
        <f t="shared" si="25"/>
        <v>0.99262540995094828</v>
      </c>
      <c r="L49" s="292">
        <f t="shared" si="25"/>
        <v>0.99393332360765818</v>
      </c>
      <c r="M49" s="292">
        <f t="shared" si="25"/>
        <v>0.99296187138876058</v>
      </c>
      <c r="N49" s="294">
        <f t="shared" si="2"/>
        <v>0.99307762803596555</v>
      </c>
      <c r="O49" s="109">
        <f t="shared" si="3"/>
        <v>8760</v>
      </c>
      <c r="P49" s="148">
        <f t="shared" si="10"/>
        <v>60.639978404941751</v>
      </c>
      <c r="Q49" s="283">
        <f t="shared" si="11"/>
        <v>14.860800000000836</v>
      </c>
      <c r="R49" s="284">
        <f t="shared" si="12"/>
        <v>45.779178404940915</v>
      </c>
      <c r="S49" s="126">
        <f t="shared" si="13"/>
        <v>178538795.77926958</v>
      </c>
      <c r="X49" t="s">
        <v>287</v>
      </c>
      <c r="Y49" s="292">
        <v>0.99464180000000002</v>
      </c>
      <c r="Z49">
        <f t="shared" si="8"/>
        <v>6</v>
      </c>
    </row>
    <row r="50" spans="1:26" x14ac:dyDescent="0.25">
      <c r="A50" s="299">
        <v>2025</v>
      </c>
      <c r="B50" s="292">
        <f t="shared" ref="B50:M50" si="26">NORMINV($Q$19,B132,B91)</f>
        <v>0.99302787978404761</v>
      </c>
      <c r="C50" s="292">
        <f t="shared" si="26"/>
        <v>0.99313188826397825</v>
      </c>
      <c r="D50" s="292">
        <f t="shared" si="26"/>
        <v>0.99295690194537578</v>
      </c>
      <c r="E50" s="292">
        <f t="shared" si="26"/>
        <v>0.99347161175863052</v>
      </c>
      <c r="F50" s="292">
        <f t="shared" si="26"/>
        <v>0.99303156803189296</v>
      </c>
      <c r="G50" s="292">
        <f t="shared" si="26"/>
        <v>0.99231770400874497</v>
      </c>
      <c r="H50" s="292">
        <f t="shared" si="26"/>
        <v>0.99262737518220279</v>
      </c>
      <c r="I50" s="292">
        <f t="shared" si="26"/>
        <v>0.99277022941167747</v>
      </c>
      <c r="J50" s="292">
        <f t="shared" si="26"/>
        <v>0.99351988169219385</v>
      </c>
      <c r="K50" s="292">
        <f t="shared" si="26"/>
        <v>0.9925494007539456</v>
      </c>
      <c r="L50" s="292">
        <f t="shared" si="26"/>
        <v>0.9938768558488732</v>
      </c>
      <c r="M50" s="292">
        <f t="shared" si="26"/>
        <v>0.99289216930049851</v>
      </c>
      <c r="N50" s="294">
        <f t="shared" si="2"/>
        <v>0.99301445549850509</v>
      </c>
      <c r="O50" s="109">
        <f t="shared" si="3"/>
        <v>8760</v>
      </c>
      <c r="P50" s="148">
        <f t="shared" si="10"/>
        <v>61.193369833095424</v>
      </c>
      <c r="Q50" s="283">
        <f t="shared" si="11"/>
        <v>14.860800000000836</v>
      </c>
      <c r="R50" s="284">
        <f t="shared" si="12"/>
        <v>46.332569833094588</v>
      </c>
      <c r="S50" s="126">
        <f t="shared" si="13"/>
        <v>180697022.34906888</v>
      </c>
      <c r="X50" t="s">
        <v>288</v>
      </c>
      <c r="Y50" s="292"/>
      <c r="Z50">
        <f t="shared" si="8"/>
        <v>9</v>
      </c>
    </row>
    <row r="51" spans="1:26" x14ac:dyDescent="0.25">
      <c r="A51" s="299">
        <v>2026</v>
      </c>
      <c r="B51" s="292">
        <f t="shared" ref="B51:M51" si="27">NORMINV($Q$19,B133,B92)</f>
        <v>0.99296882185776192</v>
      </c>
      <c r="C51" s="292">
        <f t="shared" si="27"/>
        <v>0.99307474094182435</v>
      </c>
      <c r="D51" s="292">
        <f t="shared" si="27"/>
        <v>0.99289789356110347</v>
      </c>
      <c r="E51" s="292">
        <f t="shared" si="27"/>
        <v>0.99341943782910991</v>
      </c>
      <c r="F51" s="292">
        <f t="shared" si="27"/>
        <v>0.99297451924245606</v>
      </c>
      <c r="G51" s="292">
        <f t="shared" si="27"/>
        <v>0.99224891650168134</v>
      </c>
      <c r="H51" s="292">
        <f t="shared" si="27"/>
        <v>0.99256528071255923</v>
      </c>
      <c r="I51" s="292">
        <f t="shared" si="27"/>
        <v>0.99271075929334995</v>
      </c>
      <c r="J51" s="292">
        <f t="shared" si="27"/>
        <v>0.99346426810368782</v>
      </c>
      <c r="K51" s="292">
        <f t="shared" si="27"/>
        <v>0.99247700554861995</v>
      </c>
      <c r="L51" s="292">
        <f t="shared" si="27"/>
        <v>0.99382307294953043</v>
      </c>
      <c r="M51" s="292">
        <f t="shared" si="27"/>
        <v>0.99282578132127575</v>
      </c>
      <c r="N51" s="294">
        <f t="shared" si="2"/>
        <v>0.9929542081552466</v>
      </c>
      <c r="O51" s="109">
        <f t="shared" si="3"/>
        <v>8760</v>
      </c>
      <c r="P51" s="148">
        <f t="shared" si="10"/>
        <v>61.721136560039803</v>
      </c>
      <c r="Q51" s="283">
        <f t="shared" si="11"/>
        <v>14.860800000000836</v>
      </c>
      <c r="R51" s="284">
        <f t="shared" si="12"/>
        <v>46.860336560038967</v>
      </c>
      <c r="S51" s="126">
        <f t="shared" si="13"/>
        <v>182755312.58415198</v>
      </c>
      <c r="X51" t="s">
        <v>289</v>
      </c>
      <c r="Y51" s="292">
        <f>99.77454/100</f>
        <v>0.9977454</v>
      </c>
      <c r="Z51">
        <f t="shared" si="8"/>
        <v>3</v>
      </c>
    </row>
    <row r="52" spans="1:26" x14ac:dyDescent="0.25">
      <c r="A52" s="299">
        <v>2027</v>
      </c>
      <c r="B52" s="292">
        <f t="shared" ref="B52:M52" si="28">NORMINV($Q$19,B134,B93)</f>
        <v>0.99291235696938895</v>
      </c>
      <c r="C52" s="292">
        <f t="shared" si="28"/>
        <v>0.99302010276928465</v>
      </c>
      <c r="D52" s="292">
        <f t="shared" si="28"/>
        <v>0.99284147603951811</v>
      </c>
      <c r="E52" s="292">
        <f t="shared" si="28"/>
        <v>0.99336955468400756</v>
      </c>
      <c r="F52" s="292">
        <f t="shared" si="28"/>
        <v>0.99291997527638809</v>
      </c>
      <c r="G52" s="292">
        <f t="shared" si="28"/>
        <v>0.992183149226193</v>
      </c>
      <c r="H52" s="292">
        <f t="shared" si="28"/>
        <v>0.99250591260538878</v>
      </c>
      <c r="I52" s="292">
        <f t="shared" si="28"/>
        <v>0.99265390031092215</v>
      </c>
      <c r="J52" s="292">
        <f t="shared" si="28"/>
        <v>0.9934111935187</v>
      </c>
      <c r="K52" s="292">
        <f t="shared" si="28"/>
        <v>0.99240791550100793</v>
      </c>
      <c r="L52" s="292">
        <f t="shared" si="28"/>
        <v>0.9937717454747399</v>
      </c>
      <c r="M52" s="292">
        <f t="shared" si="28"/>
        <v>0.99276242424362482</v>
      </c>
      <c r="N52" s="294">
        <f t="shared" si="2"/>
        <v>0.99289664221826379</v>
      </c>
      <c r="O52" s="109">
        <f t="shared" si="3"/>
        <v>8760</v>
      </c>
      <c r="P52" s="148">
        <f t="shared" si="10"/>
        <v>62.225414168009181</v>
      </c>
      <c r="Q52" s="283">
        <f t="shared" si="11"/>
        <v>14.860800000000836</v>
      </c>
      <c r="R52" s="284">
        <f t="shared" si="12"/>
        <v>47.364614168008345</v>
      </c>
      <c r="S52" s="126">
        <f t="shared" si="13"/>
        <v>184721995.25523254</v>
      </c>
      <c r="X52" t="s">
        <v>290</v>
      </c>
      <c r="Y52" s="292">
        <v>0.9972394</v>
      </c>
      <c r="Z52">
        <f t="shared" si="8"/>
        <v>3</v>
      </c>
    </row>
    <row r="53" spans="1:26" x14ac:dyDescent="0.25">
      <c r="A53" s="299">
        <v>2028</v>
      </c>
      <c r="B53" s="292">
        <f t="shared" ref="B53:M53" si="29">NORMINV($Q$19,B135,B94)</f>
        <v>0.99285827985371666</v>
      </c>
      <c r="C53" s="292">
        <f t="shared" si="29"/>
        <v>0.9929677751217556</v>
      </c>
      <c r="D53" s="292">
        <f t="shared" si="29"/>
        <v>0.99278744428759913</v>
      </c>
      <c r="E53" s="292">
        <f t="shared" si="29"/>
        <v>0.99332178098453661</v>
      </c>
      <c r="F53" s="292">
        <f t="shared" si="29"/>
        <v>0.9928677378515518</v>
      </c>
      <c r="G53" s="292">
        <f t="shared" si="29"/>
        <v>0.99212016310036322</v>
      </c>
      <c r="H53" s="292">
        <f t="shared" si="29"/>
        <v>0.99244905504149006</v>
      </c>
      <c r="I53" s="292">
        <f t="shared" si="29"/>
        <v>0.99259944576654358</v>
      </c>
      <c r="J53" s="292">
        <f t="shared" si="29"/>
        <v>0.99336044926292844</v>
      </c>
      <c r="K53" s="292">
        <f t="shared" si="29"/>
        <v>0.99234185896852434</v>
      </c>
      <c r="L53" s="292">
        <f t="shared" si="29"/>
        <v>0.99372267161934402</v>
      </c>
      <c r="M53" s="292">
        <f t="shared" si="29"/>
        <v>0.99270184896538205</v>
      </c>
      <c r="N53" s="294">
        <f t="shared" si="2"/>
        <v>0.99284154256864454</v>
      </c>
      <c r="O53" s="109">
        <f t="shared" si="3"/>
        <v>8760</v>
      </c>
      <c r="P53" s="148">
        <f t="shared" si="10"/>
        <v>62.708087098673815</v>
      </c>
      <c r="Q53" s="283">
        <f t="shared" si="11"/>
        <v>14.860800000000836</v>
      </c>
      <c r="R53" s="284">
        <f t="shared" si="12"/>
        <v>47.847287098672979</v>
      </c>
      <c r="S53" s="126">
        <f t="shared" si="13"/>
        <v>186604419.68482462</v>
      </c>
      <c r="X53" t="s">
        <v>291</v>
      </c>
      <c r="Y53" s="293">
        <v>0.99882800000000005</v>
      </c>
      <c r="Z53">
        <f t="shared" si="8"/>
        <v>2</v>
      </c>
    </row>
    <row r="54" spans="1:26" x14ac:dyDescent="0.25">
      <c r="A54" s="299">
        <v>2029</v>
      </c>
      <c r="B54" s="292">
        <f t="shared" ref="B54:M54" si="30">NORMINV($Q$19,B136,B95)</f>
        <v>0.99280640821021893</v>
      </c>
      <c r="C54" s="292">
        <f t="shared" si="30"/>
        <v>0.99291758159638044</v>
      </c>
      <c r="D54" s="292">
        <f t="shared" si="30"/>
        <v>0.99273561615774653</v>
      </c>
      <c r="E54" s="292">
        <f t="shared" si="30"/>
        <v>0.99327595567975224</v>
      </c>
      <c r="F54" s="292">
        <f t="shared" si="30"/>
        <v>0.9928176308692418</v>
      </c>
      <c r="G54" s="292">
        <f t="shared" si="30"/>
        <v>0.99205974579030998</v>
      </c>
      <c r="H54" s="292">
        <f t="shared" si="30"/>
        <v>0.99239451634710796</v>
      </c>
      <c r="I54" s="292">
        <f t="shared" si="30"/>
        <v>0.99254721208732921</v>
      </c>
      <c r="J54" s="292">
        <f t="shared" si="30"/>
        <v>0.9933118508672153</v>
      </c>
      <c r="K54" s="292">
        <f t="shared" si="30"/>
        <v>0.99227859581772493</v>
      </c>
      <c r="L54" s="292">
        <f t="shared" si="30"/>
        <v>0.99367567298654447</v>
      </c>
      <c r="M54" s="292">
        <f t="shared" si="30"/>
        <v>0.99264383527895139</v>
      </c>
      <c r="N54" s="294">
        <f t="shared" si="2"/>
        <v>0.99278871847404371</v>
      </c>
      <c r="O54" s="109">
        <f t="shared" si="3"/>
        <v>8760</v>
      </c>
      <c r="P54" s="148">
        <f t="shared" si="10"/>
        <v>63.170826167377122</v>
      </c>
      <c r="Q54" s="283">
        <f t="shared" si="11"/>
        <v>14.860800000000836</v>
      </c>
      <c r="R54" s="284">
        <f t="shared" si="12"/>
        <v>48.310026167376286</v>
      </c>
      <c r="S54" s="126">
        <f t="shared" si="13"/>
        <v>188409102.05276752</v>
      </c>
      <c r="X54" t="s">
        <v>292</v>
      </c>
      <c r="Y54" s="292">
        <v>0.99683999999999995</v>
      </c>
      <c r="Z54">
        <f t="shared" si="8"/>
        <v>4</v>
      </c>
    </row>
    <row r="55" spans="1:26" x14ac:dyDescent="0.25">
      <c r="A55" s="299">
        <v>2030</v>
      </c>
      <c r="B55" s="292">
        <f t="shared" ref="B55:M55" si="31">NORMINV($Q$19,B137,B96)</f>
        <v>0.99275657943464735</v>
      </c>
      <c r="C55" s="292">
        <f t="shared" si="31"/>
        <v>0.9928693648493796</v>
      </c>
      <c r="D55" s="292">
        <f t="shared" si="31"/>
        <v>0.99268582918211656</v>
      </c>
      <c r="E55" s="292">
        <f t="shared" si="31"/>
        <v>0.993231935119122</v>
      </c>
      <c r="F55" s="292">
        <f t="shared" si="31"/>
        <v>0.99276949725696906</v>
      </c>
      <c r="G55" s="292">
        <f t="shared" si="31"/>
        <v>0.99200170790332076</v>
      </c>
      <c r="H55" s="292">
        <f t="shared" si="31"/>
        <v>0.99234212555747681</v>
      </c>
      <c r="I55" s="292">
        <f t="shared" si="31"/>
        <v>0.99249703553414281</v>
      </c>
      <c r="J55" s="292">
        <f t="shared" si="31"/>
        <v>0.99326523450046433</v>
      </c>
      <c r="K55" s="292">
        <f t="shared" si="31"/>
        <v>0.9922179127808427</v>
      </c>
      <c r="L55" s="292">
        <f t="shared" si="31"/>
        <v>0.99363059113824004</v>
      </c>
      <c r="M55" s="292">
        <f t="shared" si="31"/>
        <v>0.99258818761314804</v>
      </c>
      <c r="N55" s="294">
        <f t="shared" ref="N55:N75" si="32">+AVERAGE(B55:M55)</f>
        <v>0.99273800007248925</v>
      </c>
      <c r="O55" s="109">
        <f t="shared" si="3"/>
        <v>8760</v>
      </c>
      <c r="P55" s="148">
        <f t="shared" ref="P55:P75" si="33">(1-N55)*O55</f>
        <v>63.6151193649942</v>
      </c>
      <c r="Q55" s="283">
        <f t="shared" si="11"/>
        <v>14.860800000000836</v>
      </c>
      <c r="R55" s="284">
        <f t="shared" ref="R55:R75" si="34">P55-Q55</f>
        <v>48.754319364993364</v>
      </c>
      <c r="S55" s="126">
        <f t="shared" ref="S55:S75" si="35">IF(R55&lt;0,0,R55*$Q$21)</f>
        <v>190141845.52347413</v>
      </c>
      <c r="X55" t="s">
        <v>293</v>
      </c>
      <c r="Y55" s="292">
        <v>0.99746573999999999</v>
      </c>
      <c r="Z55">
        <f t="shared" si="8"/>
        <v>3</v>
      </c>
    </row>
    <row r="56" spans="1:26" x14ac:dyDescent="0.25">
      <c r="A56" s="299">
        <v>2031</v>
      </c>
      <c r="B56" s="292">
        <f t="shared" ref="B56:M56" si="36">NORMINV($Q$19,B138,B97)</f>
        <v>0.99270864790861801</v>
      </c>
      <c r="C56" s="292">
        <f t="shared" si="36"/>
        <v>0.99282298397332103</v>
      </c>
      <c r="D56" s="292">
        <f t="shared" si="36"/>
        <v>0.99263793786447996</v>
      </c>
      <c r="E56" s="292">
        <f t="shared" si="36"/>
        <v>0.99318959065804546</v>
      </c>
      <c r="F56" s="292">
        <f t="shared" si="36"/>
        <v>0.9927231963502523</v>
      </c>
      <c r="G56" s="292">
        <f t="shared" si="36"/>
        <v>0.99194587983090643</v>
      </c>
      <c r="H56" s="292">
        <f t="shared" si="36"/>
        <v>0.99229172956704537</v>
      </c>
      <c r="I56" s="292">
        <f t="shared" si="36"/>
        <v>0.99244876947226324</v>
      </c>
      <c r="J56" s="292">
        <f t="shared" si="36"/>
        <v>0.99322045403236747</v>
      </c>
      <c r="K56" s="292">
        <f t="shared" si="36"/>
        <v>0.99215961963218002</v>
      </c>
      <c r="L56" s="292">
        <f t="shared" si="36"/>
        <v>0.99358728475444291</v>
      </c>
      <c r="M56" s="292">
        <f t="shared" si="36"/>
        <v>0.99253473152686666</v>
      </c>
      <c r="N56" s="294">
        <f t="shared" si="32"/>
        <v>0.99268923546423249</v>
      </c>
      <c r="O56" s="109">
        <f t="shared" si="3"/>
        <v>8760</v>
      </c>
      <c r="P56" s="148">
        <f t="shared" si="33"/>
        <v>64.042297333323404</v>
      </c>
      <c r="Q56" s="283">
        <f t="shared" si="11"/>
        <v>14.860800000000836</v>
      </c>
      <c r="R56" s="284">
        <f t="shared" si="34"/>
        <v>49.181497333322568</v>
      </c>
      <c r="S56" s="126">
        <f t="shared" si="35"/>
        <v>191807839.599958</v>
      </c>
      <c r="X56" t="s">
        <v>294</v>
      </c>
      <c r="Y56" s="293">
        <v>0.99860729999999998</v>
      </c>
      <c r="Z56">
        <f t="shared" si="8"/>
        <v>2</v>
      </c>
    </row>
    <row r="57" spans="1:26" x14ac:dyDescent="0.25">
      <c r="A57" s="299">
        <v>2032</v>
      </c>
      <c r="B57" s="292">
        <f t="shared" ref="B57:M57" si="37">NORMINV($Q$19,B139,B98)</f>
        <v>0.99266248273710789</v>
      </c>
      <c r="C57" s="292">
        <f t="shared" si="37"/>
        <v>0.99277831230781399</v>
      </c>
      <c r="D57" s="292">
        <f t="shared" si="37"/>
        <v>0.99259181141961839</v>
      </c>
      <c r="E57" s="292">
        <f t="shared" si="37"/>
        <v>0.99314880665907768</v>
      </c>
      <c r="F57" s="292">
        <f t="shared" si="37"/>
        <v>0.99267860170708699</v>
      </c>
      <c r="G57" s="292">
        <f t="shared" si="37"/>
        <v>0.99189210911356074</v>
      </c>
      <c r="H57" s="292">
        <f t="shared" si="37"/>
        <v>0.99224319075064593</v>
      </c>
      <c r="I57" s="292">
        <f t="shared" si="37"/>
        <v>0.99240228209309189</v>
      </c>
      <c r="J57" s="292">
        <f t="shared" si="37"/>
        <v>0.99317737859758948</v>
      </c>
      <c r="K57" s="292">
        <f t="shared" si="37"/>
        <v>0.99210354601727735</v>
      </c>
      <c r="L57" s="292">
        <f t="shared" si="37"/>
        <v>0.9935456272776455</v>
      </c>
      <c r="M57" s="292">
        <f t="shared" si="37"/>
        <v>0.99248331080135921</v>
      </c>
      <c r="N57" s="294">
        <f t="shared" si="32"/>
        <v>0.99264228829015655</v>
      </c>
      <c r="O57" s="109">
        <f t="shared" si="3"/>
        <v>8760</v>
      </c>
      <c r="P57" s="148">
        <f t="shared" si="33"/>
        <v>64.453554578228633</v>
      </c>
      <c r="Q57" s="283">
        <f t="shared" si="11"/>
        <v>14.860800000000836</v>
      </c>
      <c r="R57" s="284">
        <f t="shared" si="34"/>
        <v>49.592754578227797</v>
      </c>
      <c r="S57" s="126">
        <f t="shared" si="35"/>
        <v>193411742.85508841</v>
      </c>
      <c r="X57" t="s">
        <v>295</v>
      </c>
      <c r="Y57" s="292">
        <v>0.99738013999999997</v>
      </c>
      <c r="Z57">
        <f t="shared" si="8"/>
        <v>3</v>
      </c>
    </row>
    <row r="58" spans="1:26" x14ac:dyDescent="0.25">
      <c r="A58" s="299">
        <v>2033</v>
      </c>
      <c r="B58" s="292">
        <f t="shared" ref="B58:M58" si="38">NORMINV($Q$19,B140,B99)</f>
        <v>0.99261796584824458</v>
      </c>
      <c r="C58" s="292">
        <f t="shared" si="38"/>
        <v>0.99273523560077115</v>
      </c>
      <c r="D58" s="292">
        <f t="shared" si="38"/>
        <v>0.9925473318747059</v>
      </c>
      <c r="E58" s="292">
        <f t="shared" si="38"/>
        <v>0.99310947881321343</v>
      </c>
      <c r="F58" s="292">
        <f t="shared" si="38"/>
        <v>0.99263559927237799</v>
      </c>
      <c r="G58" s="292">
        <f t="shared" si="38"/>
        <v>0.99184025822749466</v>
      </c>
      <c r="H58" s="292">
        <f t="shared" si="38"/>
        <v>0.99219638496558038</v>
      </c>
      <c r="I58" s="292">
        <f t="shared" si="38"/>
        <v>0.99235745450067903</v>
      </c>
      <c r="J58" s="292">
        <f t="shared" si="38"/>
        <v>0.99313589056248763</v>
      </c>
      <c r="K58" s="292">
        <f t="shared" si="38"/>
        <v>0.99204953880608238</v>
      </c>
      <c r="L58" s="292">
        <f t="shared" si="38"/>
        <v>0.9935055049464715</v>
      </c>
      <c r="M58" s="292">
        <f t="shared" si="38"/>
        <v>0.99243378501303436</v>
      </c>
      <c r="N58" s="294">
        <f t="shared" si="32"/>
        <v>0.99259703570259517</v>
      </c>
      <c r="O58" s="109">
        <f t="shared" si="3"/>
        <v>8760</v>
      </c>
      <c r="P58" s="148">
        <f t="shared" si="33"/>
        <v>64.849967245266356</v>
      </c>
      <c r="Q58" s="283">
        <f t="shared" si="11"/>
        <v>14.860800000000836</v>
      </c>
      <c r="R58" s="284">
        <f t="shared" si="34"/>
        <v>49.98916724526552</v>
      </c>
      <c r="S58" s="126">
        <f t="shared" si="35"/>
        <v>194957752.25653553</v>
      </c>
      <c r="X58" t="s">
        <v>296</v>
      </c>
      <c r="Y58" s="292">
        <v>0.99493529999999997</v>
      </c>
      <c r="Z58">
        <f t="shared" si="8"/>
        <v>6</v>
      </c>
    </row>
    <row r="59" spans="1:26" x14ac:dyDescent="0.25">
      <c r="A59" s="299">
        <v>2034</v>
      </c>
      <c r="B59" s="292">
        <f t="shared" ref="B59:M59" si="39">NORMINV($Q$19,B141,B100)</f>
        <v>0.99257499038821018</v>
      </c>
      <c r="C59" s="292">
        <f t="shared" si="39"/>
        <v>0.99269365045524105</v>
      </c>
      <c r="D59" s="292">
        <f t="shared" si="39"/>
        <v>0.99250439246556188</v>
      </c>
      <c r="E59" s="292">
        <f t="shared" si="39"/>
        <v>0.99307151272188654</v>
      </c>
      <c r="F59" s="292">
        <f t="shared" si="39"/>
        <v>0.99259408582744957</v>
      </c>
      <c r="G59" s="292">
        <f t="shared" si="39"/>
        <v>0.99179020271510887</v>
      </c>
      <c r="H59" s="292">
        <f t="shared" si="39"/>
        <v>0.99215119986399714</v>
      </c>
      <c r="I59" s="292">
        <f t="shared" si="39"/>
        <v>0.99231417909542596</v>
      </c>
      <c r="J59" s="292">
        <f t="shared" si="39"/>
        <v>0.99309588381741609</v>
      </c>
      <c r="K59" s="292">
        <f t="shared" si="39"/>
        <v>0.99199745986995058</v>
      </c>
      <c r="L59" s="292">
        <f t="shared" si="39"/>
        <v>0.99346681514419444</v>
      </c>
      <c r="M59" s="292">
        <f t="shared" si="39"/>
        <v>0.99238602749491811</v>
      </c>
      <c r="N59" s="294">
        <f t="shared" si="32"/>
        <v>0.99255336665494676</v>
      </c>
      <c r="O59" s="109">
        <f t="shared" si="3"/>
        <v>8760</v>
      </c>
      <c r="P59" s="148">
        <f t="shared" si="33"/>
        <v>65.232508102666415</v>
      </c>
      <c r="Q59" s="283">
        <f t="shared" si="11"/>
        <v>14.860800000000836</v>
      </c>
      <c r="R59" s="284">
        <f t="shared" si="34"/>
        <v>50.371708102665579</v>
      </c>
      <c r="S59" s="126">
        <f t="shared" si="35"/>
        <v>196449661.60039577</v>
      </c>
      <c r="X59" t="s">
        <v>297</v>
      </c>
      <c r="Y59" s="292">
        <v>0.99271120000000002</v>
      </c>
      <c r="Z59">
        <f t="shared" si="8"/>
        <v>8</v>
      </c>
    </row>
    <row r="60" spans="1:26" x14ac:dyDescent="0.25">
      <c r="A60" s="299">
        <v>2035</v>
      </c>
      <c r="B60" s="292">
        <f t="shared" ref="B60:M60" si="40">NORMINV($Q$19,B142,B101)</f>
        <v>0.99253345935814385</v>
      </c>
      <c r="C60" s="292">
        <f t="shared" si="40"/>
        <v>0.99265346301040758</v>
      </c>
      <c r="D60" s="292">
        <f t="shared" si="40"/>
        <v>0.99246289627469442</v>
      </c>
      <c r="E60" s="292">
        <f t="shared" si="40"/>
        <v>0.99303482269275933</v>
      </c>
      <c r="F60" s="292">
        <f t="shared" si="40"/>
        <v>0.99255396767331905</v>
      </c>
      <c r="G60" s="292">
        <f t="shared" si="40"/>
        <v>0.99174182959732904</v>
      </c>
      <c r="H60" s="292">
        <f t="shared" si="40"/>
        <v>0.99210753345970704</v>
      </c>
      <c r="I60" s="292">
        <f t="shared" si="40"/>
        <v>0.99227235820147208</v>
      </c>
      <c r="J60" s="292">
        <f t="shared" si="40"/>
        <v>0.99305726233424818</v>
      </c>
      <c r="K60" s="292">
        <f t="shared" si="40"/>
        <v>0.99194718420389427</v>
      </c>
      <c r="L60" s="292">
        <f t="shared" si="40"/>
        <v>0.99342946500374318</v>
      </c>
      <c r="M60" s="292">
        <f t="shared" si="40"/>
        <v>0.99233992361471568</v>
      </c>
      <c r="N60" s="294">
        <f t="shared" si="32"/>
        <v>0.99251118045203623</v>
      </c>
      <c r="O60" s="109">
        <f t="shared" si="3"/>
        <v>8760</v>
      </c>
      <c r="P60" s="148">
        <f t="shared" si="33"/>
        <v>65.602059240162589</v>
      </c>
      <c r="Q60" s="283">
        <f t="shared" si="11"/>
        <v>14.860800000000836</v>
      </c>
      <c r="R60" s="284">
        <f t="shared" si="34"/>
        <v>50.741259240161753</v>
      </c>
      <c r="S60" s="126">
        <f t="shared" si="35"/>
        <v>197890911.03663084</v>
      </c>
      <c r="X60" t="s">
        <v>298</v>
      </c>
      <c r="Y60" s="292">
        <v>0.99146350000000005</v>
      </c>
      <c r="Z60">
        <f t="shared" si="8"/>
        <v>8</v>
      </c>
    </row>
    <row r="61" spans="1:26" x14ac:dyDescent="0.25">
      <c r="A61" s="299">
        <v>2036</v>
      </c>
      <c r="B61" s="292">
        <f t="shared" ref="B61:M61" si="41">NORMINV($Q$19,B143,B102)</f>
        <v>0.99249328445071472</v>
      </c>
      <c r="C61" s="292">
        <f t="shared" si="41"/>
        <v>0.99261458781580203</v>
      </c>
      <c r="D61" s="292">
        <f t="shared" si="41"/>
        <v>0.99242275506885169</v>
      </c>
      <c r="E61" s="292">
        <f t="shared" si="41"/>
        <v>0.9929993307119106</v>
      </c>
      <c r="F61" s="292">
        <f t="shared" si="41"/>
        <v>0.99251515950685065</v>
      </c>
      <c r="G61" s="292">
        <f t="shared" si="41"/>
        <v>0.99169503601850983</v>
      </c>
      <c r="H61" s="292">
        <f t="shared" si="41"/>
        <v>0.99206529290493872</v>
      </c>
      <c r="I61" s="292">
        <f t="shared" si="41"/>
        <v>0.99223190289515062</v>
      </c>
      <c r="J61" s="292">
        <f t="shared" si="41"/>
        <v>0.99301993894137741</v>
      </c>
      <c r="K61" s="292">
        <f t="shared" si="41"/>
        <v>0.9918985983319355</v>
      </c>
      <c r="L61" s="292">
        <f t="shared" si="41"/>
        <v>0.9933933702230282</v>
      </c>
      <c r="M61" s="292">
        <f t="shared" si="41"/>
        <v>0.99229536931248508</v>
      </c>
      <c r="N61" s="294">
        <f t="shared" si="32"/>
        <v>0.99247038551512956</v>
      </c>
      <c r="O61" s="109">
        <f t="shared" si="3"/>
        <v>8760</v>
      </c>
      <c r="P61" s="148">
        <f t="shared" si="33"/>
        <v>65.959422887465053</v>
      </c>
      <c r="Q61" s="283">
        <f t="shared" si="11"/>
        <v>14.860800000000836</v>
      </c>
      <c r="R61" s="284">
        <f t="shared" si="34"/>
        <v>51.098622887464217</v>
      </c>
      <c r="S61" s="126">
        <f t="shared" si="35"/>
        <v>199284629.26111045</v>
      </c>
      <c r="X61" t="s">
        <v>299</v>
      </c>
      <c r="Y61" s="292">
        <v>0.99464180000000002</v>
      </c>
      <c r="Z61">
        <f t="shared" si="8"/>
        <v>6</v>
      </c>
    </row>
    <row r="62" spans="1:26" x14ac:dyDescent="0.25">
      <c r="A62" s="299">
        <v>2037</v>
      </c>
      <c r="B62" s="292">
        <f t="shared" ref="B62:M62" si="42">NORMINV($Q$19,B144,B103)</f>
        <v>0.99245438505241412</v>
      </c>
      <c r="C62" s="292">
        <f t="shared" si="42"/>
        <v>0.99257694686587206</v>
      </c>
      <c r="D62" s="292">
        <f t="shared" si="42"/>
        <v>0.99238388830214908</v>
      </c>
      <c r="E62" s="292">
        <f t="shared" si="42"/>
        <v>0.99296496556242142</v>
      </c>
      <c r="F62" s="292">
        <f t="shared" si="42"/>
        <v>0.99247758345698844</v>
      </c>
      <c r="G62" s="292">
        <f t="shared" si="42"/>
        <v>0.9916497280843567</v>
      </c>
      <c r="H62" s="292">
        <f t="shared" si="42"/>
        <v>0.99202439344132998</v>
      </c>
      <c r="I62" s="292">
        <f t="shared" si="42"/>
        <v>0.99219273200031388</v>
      </c>
      <c r="J62" s="292">
        <f t="shared" si="42"/>
        <v>0.9929838342781625</v>
      </c>
      <c r="K62" s="292">
        <f t="shared" si="42"/>
        <v>0.99185159894605024</v>
      </c>
      <c r="L62" s="292">
        <f t="shared" si="42"/>
        <v>0.99335845405380296</v>
      </c>
      <c r="M62" s="292">
        <f t="shared" si="42"/>
        <v>0.99225226985251946</v>
      </c>
      <c r="N62" s="294">
        <f t="shared" si="32"/>
        <v>0.99243089832469844</v>
      </c>
      <c r="O62" s="109">
        <f t="shared" si="3"/>
        <v>8760</v>
      </c>
      <c r="P62" s="148">
        <f t="shared" si="33"/>
        <v>66.305330675641656</v>
      </c>
      <c r="Q62" s="283">
        <f t="shared" si="11"/>
        <v>14.860800000000836</v>
      </c>
      <c r="R62" s="284">
        <f t="shared" si="34"/>
        <v>51.44453067564082</v>
      </c>
      <c r="S62" s="126">
        <f t="shared" si="35"/>
        <v>200633669.63499919</v>
      </c>
      <c r="X62" t="s">
        <v>300</v>
      </c>
      <c r="Y62" s="292"/>
      <c r="Z62">
        <f t="shared" si="8"/>
        <v>9</v>
      </c>
    </row>
    <row r="63" spans="1:26" x14ac:dyDescent="0.25">
      <c r="A63" s="299">
        <v>2038</v>
      </c>
      <c r="B63" s="292">
        <f t="shared" ref="B63:M63" si="43">NORMINV($Q$19,B145,B104)</f>
        <v>0.99241668738413558</v>
      </c>
      <c r="C63" s="292">
        <f t="shared" si="43"/>
        <v>0.9925404687683661</v>
      </c>
      <c r="D63" s="292">
        <f t="shared" si="43"/>
        <v>0.99234622225737157</v>
      </c>
      <c r="E63" s="292">
        <f t="shared" si="43"/>
        <v>0.99293166206513406</v>
      </c>
      <c r="F63" s="292">
        <f t="shared" si="43"/>
        <v>0.99244116825457385</v>
      </c>
      <c r="G63" s="292">
        <f t="shared" si="43"/>
        <v>0.99160581986092122</v>
      </c>
      <c r="H63" s="292">
        <f t="shared" si="43"/>
        <v>0.9919847574963222</v>
      </c>
      <c r="I63" s="292">
        <f t="shared" si="43"/>
        <v>0.99215477122291806</v>
      </c>
      <c r="J63" s="292">
        <f t="shared" si="43"/>
        <v>0.9929488758982985</v>
      </c>
      <c r="K63" s="292">
        <f t="shared" si="43"/>
        <v>0.99180609173897916</v>
      </c>
      <c r="L63" s="292">
        <f t="shared" si="43"/>
        <v>0.99332464643455154</v>
      </c>
      <c r="M63" s="292">
        <f t="shared" si="43"/>
        <v>0.99221053875300902</v>
      </c>
      <c r="N63" s="294">
        <f t="shared" si="32"/>
        <v>0.99239264251121506</v>
      </c>
      <c r="O63" s="109">
        <f t="shared" si="3"/>
        <v>8760</v>
      </c>
      <c r="P63" s="148">
        <f t="shared" si="33"/>
        <v>66.640451601756055</v>
      </c>
      <c r="Q63" s="283">
        <f t="shared" si="11"/>
        <v>14.860800000000836</v>
      </c>
      <c r="R63" s="284">
        <f t="shared" si="34"/>
        <v>51.779651601755219</v>
      </c>
      <c r="S63" s="126">
        <f t="shared" si="35"/>
        <v>201940641.24684536</v>
      </c>
      <c r="X63" t="s">
        <v>301</v>
      </c>
      <c r="Y63" s="292">
        <v>0.99804409999999999</v>
      </c>
      <c r="Z63">
        <f t="shared" si="8"/>
        <v>2</v>
      </c>
    </row>
    <row r="64" spans="1:26" x14ac:dyDescent="0.25">
      <c r="A64" s="299">
        <v>2039</v>
      </c>
      <c r="B64" s="292">
        <f t="shared" ref="B64:M64" si="44">NORMINV($Q$19,B146,B105)</f>
        <v>0.99238012375776086</v>
      </c>
      <c r="C64" s="292">
        <f t="shared" si="44"/>
        <v>0.99250508802496762</v>
      </c>
      <c r="D64" s="292">
        <f t="shared" si="44"/>
        <v>0.9923096893031822</v>
      </c>
      <c r="E64" s="292">
        <f t="shared" si="44"/>
        <v>0.99289936042189209</v>
      </c>
      <c r="F64" s="292">
        <f t="shared" si="44"/>
        <v>0.99240584851422242</v>
      </c>
      <c r="G64" s="292">
        <f t="shared" si="44"/>
        <v>0.99156323250871126</v>
      </c>
      <c r="H64" s="292">
        <f t="shared" si="44"/>
        <v>0.99194631390151999</v>
      </c>
      <c r="I64" s="292">
        <f t="shared" si="44"/>
        <v>0.99211795240241829</v>
      </c>
      <c r="J64" s="292">
        <f t="shared" si="44"/>
        <v>0.9929149974974687</v>
      </c>
      <c r="K64" s="292">
        <f t="shared" si="44"/>
        <v>0.99176199039882007</v>
      </c>
      <c r="L64" s="292">
        <f t="shared" si="44"/>
        <v>0.99329188324356399</v>
      </c>
      <c r="M64" s="292">
        <f t="shared" si="44"/>
        <v>0.99217009686406044</v>
      </c>
      <c r="N64" s="294">
        <f t="shared" si="32"/>
        <v>0.99235554806988224</v>
      </c>
      <c r="O64" s="109">
        <f t="shared" si="3"/>
        <v>8760</v>
      </c>
      <c r="P64" s="148">
        <f t="shared" si="33"/>
        <v>66.965398907831556</v>
      </c>
      <c r="Q64" s="283">
        <f t="shared" si="11"/>
        <v>14.860800000000836</v>
      </c>
      <c r="R64" s="284">
        <f t="shared" si="34"/>
        <v>52.10459890783072</v>
      </c>
      <c r="S64" s="126">
        <f t="shared" si="35"/>
        <v>203207935.74053982</v>
      </c>
      <c r="X64" t="s">
        <v>302</v>
      </c>
      <c r="Y64" s="292">
        <v>0.99754189999999998</v>
      </c>
      <c r="Z64">
        <f t="shared" si="8"/>
        <v>3</v>
      </c>
    </row>
    <row r="65" spans="1:26" x14ac:dyDescent="0.25">
      <c r="A65" s="299">
        <v>2040</v>
      </c>
      <c r="B65" s="292">
        <f t="shared" ref="B65:M65" si="45">NORMINV($Q$19,B147,B106)</f>
        <v>0.99234463193052747</v>
      </c>
      <c r="C65" s="292">
        <f t="shared" si="45"/>
        <v>0.99247074440655281</v>
      </c>
      <c r="D65" s="292">
        <f t="shared" si="45"/>
        <v>0.99227422724903258</v>
      </c>
      <c r="E65" s="292">
        <f t="shared" si="45"/>
        <v>0.99286800564516542</v>
      </c>
      <c r="F65" s="292">
        <f t="shared" si="45"/>
        <v>0.9923715641106563</v>
      </c>
      <c r="G65" s="292">
        <f t="shared" si="45"/>
        <v>0.9915218935306932</v>
      </c>
      <c r="H65" s="292">
        <f t="shared" si="45"/>
        <v>0.9919089972138655</v>
      </c>
      <c r="I65" s="292">
        <f t="shared" si="45"/>
        <v>0.99208221286163223</v>
      </c>
      <c r="J65" s="292">
        <f t="shared" si="45"/>
        <v>0.99288213824524751</v>
      </c>
      <c r="K65" s="292">
        <f t="shared" si="45"/>
        <v>0.9917192157393292</v>
      </c>
      <c r="L65" s="292">
        <f t="shared" si="45"/>
        <v>0.99326010565283163</v>
      </c>
      <c r="M65" s="292">
        <f t="shared" si="45"/>
        <v>0.99213087157016455</v>
      </c>
      <c r="N65" s="294">
        <f t="shared" si="32"/>
        <v>0.99231955067964162</v>
      </c>
      <c r="O65" s="109">
        <f t="shared" si="3"/>
        <v>8760</v>
      </c>
      <c r="P65" s="148">
        <f t="shared" si="33"/>
        <v>67.280736046339456</v>
      </c>
      <c r="Q65" s="283">
        <f t="shared" si="11"/>
        <v>14.860800000000836</v>
      </c>
      <c r="R65" s="284">
        <f t="shared" si="34"/>
        <v>52.41993604633862</v>
      </c>
      <c r="S65" s="126">
        <f t="shared" si="35"/>
        <v>204437750.5807206</v>
      </c>
      <c r="X65" t="s">
        <v>303</v>
      </c>
      <c r="Y65" s="292">
        <v>0.99827250000000001</v>
      </c>
      <c r="Z65">
        <f t="shared" si="8"/>
        <v>2</v>
      </c>
    </row>
    <row r="66" spans="1:26" x14ac:dyDescent="0.25">
      <c r="A66" s="299">
        <v>2041</v>
      </c>
      <c r="B66" s="292">
        <f t="shared" ref="B66:M66" si="46">NORMINV($Q$19,B148,B107)</f>
        <v>0.99231015454220828</v>
      </c>
      <c r="C66" s="292">
        <f t="shared" si="46"/>
        <v>0.99243738240857526</v>
      </c>
      <c r="D66" s="292">
        <f t="shared" si="46"/>
        <v>0.99223977878281311</v>
      </c>
      <c r="E66" s="292">
        <f t="shared" si="46"/>
        <v>0.99283754706083394</v>
      </c>
      <c r="F66" s="292">
        <f t="shared" si="46"/>
        <v>0.99233825963502942</v>
      </c>
      <c r="G66" s="292">
        <f t="shared" si="46"/>
        <v>0.99148173611674917</v>
      </c>
      <c r="H66" s="292">
        <f t="shared" si="46"/>
        <v>0.9918727471238773</v>
      </c>
      <c r="I66" s="292">
        <f t="shared" si="46"/>
        <v>0.99204749483998944</v>
      </c>
      <c r="J66" s="292">
        <f t="shared" si="46"/>
        <v>0.99285024220487939</v>
      </c>
      <c r="K66" s="292">
        <f t="shared" si="46"/>
        <v>0.99167769494461777</v>
      </c>
      <c r="L66" s="292">
        <f t="shared" si="46"/>
        <v>0.99322925956692654</v>
      </c>
      <c r="M66" s="292">
        <f t="shared" si="46"/>
        <v>0.9920927960975664</v>
      </c>
      <c r="N66" s="294">
        <f t="shared" si="32"/>
        <v>0.99228459111033873</v>
      </c>
      <c r="O66" s="109">
        <f t="shared" si="3"/>
        <v>8760</v>
      </c>
      <c r="P66" s="148">
        <f t="shared" si="33"/>
        <v>67.586981873432705</v>
      </c>
      <c r="Q66" s="283">
        <f t="shared" si="11"/>
        <v>14.860800000000836</v>
      </c>
      <c r="R66" s="284">
        <f t="shared" si="34"/>
        <v>52.726181873431869</v>
      </c>
      <c r="S66" s="126">
        <f t="shared" si="35"/>
        <v>205632109.3063843</v>
      </c>
      <c r="X66" t="s">
        <v>304</v>
      </c>
      <c r="Y66" s="292">
        <v>0.99739555000000002</v>
      </c>
      <c r="Z66">
        <f t="shared" si="8"/>
        <v>3</v>
      </c>
    </row>
    <row r="67" spans="1:26" x14ac:dyDescent="0.25">
      <c r="A67" s="299">
        <v>2042</v>
      </c>
      <c r="B67" s="292">
        <f t="shared" ref="B67:M67" si="47">NORMINV($Q$19,B149,B108)</f>
        <v>0.99227663862272319</v>
      </c>
      <c r="C67" s="292">
        <f t="shared" si="47"/>
        <v>0.99240495077460888</v>
      </c>
      <c r="D67" s="292">
        <f t="shared" si="47"/>
        <v>0.9922062909788788</v>
      </c>
      <c r="E67" s="292">
        <f t="shared" si="47"/>
        <v>0.99280793787319366</v>
      </c>
      <c r="F67" s="292">
        <f t="shared" si="47"/>
        <v>0.99230588391929142</v>
      </c>
      <c r="G67" s="292">
        <f t="shared" si="47"/>
        <v>0.99144269857016842</v>
      </c>
      <c r="H67" s="292">
        <f t="shared" si="47"/>
        <v>0.991837507937947</v>
      </c>
      <c r="I67" s="292">
        <f t="shared" si="47"/>
        <v>0.99201374499770734</v>
      </c>
      <c r="J67" s="292">
        <f t="shared" si="47"/>
        <v>0.99281925782747937</v>
      </c>
      <c r="K67" s="292">
        <f t="shared" si="47"/>
        <v>0.99163736091072396</v>
      </c>
      <c r="L67" s="292">
        <f t="shared" si="47"/>
        <v>0.99319929513385041</v>
      </c>
      <c r="M67" s="292">
        <f t="shared" si="47"/>
        <v>0.99205580891047185</v>
      </c>
      <c r="N67" s="294">
        <f t="shared" si="32"/>
        <v>0.99225061470475362</v>
      </c>
      <c r="O67" s="109">
        <f t="shared" si="3"/>
        <v>8760</v>
      </c>
      <c r="P67" s="148">
        <f t="shared" si="33"/>
        <v>67.884615186358289</v>
      </c>
      <c r="Q67" s="283">
        <f t="shared" si="11"/>
        <v>14.860800000000836</v>
      </c>
      <c r="R67" s="284">
        <f t="shared" si="34"/>
        <v>53.023815186357453</v>
      </c>
      <c r="S67" s="126">
        <f t="shared" si="35"/>
        <v>206792879.22679406</v>
      </c>
      <c r="X67" t="s">
        <v>305</v>
      </c>
      <c r="Y67" s="292">
        <v>0.99746573999999999</v>
      </c>
      <c r="Z67">
        <f t="shared" si="8"/>
        <v>3</v>
      </c>
    </row>
    <row r="68" spans="1:26" x14ac:dyDescent="0.25">
      <c r="A68" s="299">
        <v>2043</v>
      </c>
      <c r="B68" s="292">
        <f t="shared" ref="B68:M68" si="48">NORMINV($Q$19,B150,B109)</f>
        <v>0.99224403515991066</v>
      </c>
      <c r="C68" s="292">
        <f t="shared" si="48"/>
        <v>0.99237340207810254</v>
      </c>
      <c r="D68" s="292">
        <f t="shared" si="48"/>
        <v>0.99217371486618311</v>
      </c>
      <c r="E68" s="292">
        <f t="shared" si="48"/>
        <v>0.99277913478311097</v>
      </c>
      <c r="F68" s="292">
        <f t="shared" si="48"/>
        <v>0.99227438961866343</v>
      </c>
      <c r="G68" s="292">
        <f t="shared" si="48"/>
        <v>0.99140472380421307</v>
      </c>
      <c r="H68" s="292">
        <f t="shared" si="48"/>
        <v>0.9918032281238861</v>
      </c>
      <c r="I68" s="292">
        <f t="shared" si="48"/>
        <v>0.99198091398054677</v>
      </c>
      <c r="J68" s="292">
        <f t="shared" si="48"/>
        <v>0.99278913750952991</v>
      </c>
      <c r="K68" s="292">
        <f t="shared" si="48"/>
        <v>0.99159815166958343</v>
      </c>
      <c r="L68" s="292">
        <f t="shared" si="48"/>
        <v>0.99317016631709942</v>
      </c>
      <c r="M68" s="292">
        <f t="shared" si="48"/>
        <v>0.99201985318281727</v>
      </c>
      <c r="N68" s="294">
        <f t="shared" si="32"/>
        <v>0.9922175709244706</v>
      </c>
      <c r="O68" s="109">
        <f t="shared" si="3"/>
        <v>8760</v>
      </c>
      <c r="P68" s="148">
        <f t="shared" si="33"/>
        <v>68.174078701637512</v>
      </c>
      <c r="Q68" s="283">
        <f t="shared" si="11"/>
        <v>14.860800000000836</v>
      </c>
      <c r="R68" s="284">
        <f t="shared" si="34"/>
        <v>53.313278701636676</v>
      </c>
      <c r="S68" s="126">
        <f t="shared" si="35"/>
        <v>207921786.93638304</v>
      </c>
      <c r="X68" t="s">
        <v>306</v>
      </c>
      <c r="Y68" s="292">
        <v>0.99804599999999999</v>
      </c>
      <c r="Z68">
        <f t="shared" si="8"/>
        <v>2</v>
      </c>
    </row>
    <row r="69" spans="1:26" x14ac:dyDescent="0.25">
      <c r="A69" s="299">
        <v>2044</v>
      </c>
      <c r="B69" s="292">
        <f t="shared" ref="B69:M69" si="49">NORMINV($Q$19,B151,B110)</f>
        <v>0.99221229871888539</v>
      </c>
      <c r="C69" s="292">
        <f t="shared" si="49"/>
        <v>0.99234269235405081</v>
      </c>
      <c r="D69" s="292">
        <f t="shared" si="49"/>
        <v>0.9921420050479548</v>
      </c>
      <c r="E69" s="292">
        <f t="shared" si="49"/>
        <v>0.99275109765174807</v>
      </c>
      <c r="F69" s="292">
        <f t="shared" si="49"/>
        <v>0.99224373284394418</v>
      </c>
      <c r="G69" s="292">
        <f t="shared" si="49"/>
        <v>0.99136775889876338</v>
      </c>
      <c r="H69" s="292">
        <f t="shared" si="49"/>
        <v>0.99176985991071331</v>
      </c>
      <c r="I69" s="292">
        <f t="shared" si="49"/>
        <v>0.99194895603651156</v>
      </c>
      <c r="J69" s="292">
        <f t="shared" si="49"/>
        <v>0.9927598372044435</v>
      </c>
      <c r="K69" s="292">
        <f t="shared" si="49"/>
        <v>0.99156000988337945</v>
      </c>
      <c r="L69" s="292">
        <f t="shared" si="49"/>
        <v>0.9931418305200127</v>
      </c>
      <c r="M69" s="292">
        <f t="shared" si="49"/>
        <v>0.99198487633457666</v>
      </c>
      <c r="N69" s="294">
        <f t="shared" si="32"/>
        <v>0.9921854129504154</v>
      </c>
      <c r="O69" s="109">
        <f t="shared" si="3"/>
        <v>8760</v>
      </c>
      <c r="P69" s="148">
        <f t="shared" si="33"/>
        <v>68.455782554361079</v>
      </c>
      <c r="Q69" s="283">
        <f t="shared" si="11"/>
        <v>14.860800000000836</v>
      </c>
      <c r="R69" s="284">
        <f t="shared" si="34"/>
        <v>53.594982554360243</v>
      </c>
      <c r="S69" s="126">
        <f t="shared" si="35"/>
        <v>209020431.96200496</v>
      </c>
      <c r="X69" t="s">
        <v>307</v>
      </c>
      <c r="Y69" s="292">
        <v>0.99734780000000001</v>
      </c>
      <c r="Z69">
        <f t="shared" si="8"/>
        <v>3</v>
      </c>
    </row>
    <row r="70" spans="1:26" x14ac:dyDescent="0.25">
      <c r="A70" s="299">
        <v>2045</v>
      </c>
      <c r="B70" s="292">
        <f t="shared" ref="B70:M70" si="50">NORMINV($Q$19,B152,B111)</f>
        <v>0.99218138710579507</v>
      </c>
      <c r="C70" s="292">
        <f t="shared" si="50"/>
        <v>0.99231278077363028</v>
      </c>
      <c r="D70" s="292">
        <f t="shared" si="50"/>
        <v>0.99211111936573693</v>
      </c>
      <c r="E70" s="292">
        <f t="shared" si="50"/>
        <v>0.99272378920351489</v>
      </c>
      <c r="F70" s="292">
        <f t="shared" si="50"/>
        <v>0.99221387283670648</v>
      </c>
      <c r="G70" s="292">
        <f t="shared" si="50"/>
        <v>0.99133175470868218</v>
      </c>
      <c r="H70" s="292">
        <f t="shared" si="50"/>
        <v>0.99173735893512238</v>
      </c>
      <c r="I70" s="292">
        <f t="shared" si="50"/>
        <v>0.99191782867725953</v>
      </c>
      <c r="J70" s="292">
        <f t="shared" si="50"/>
        <v>0.99273131608048359</v>
      </c>
      <c r="K70" s="292">
        <f t="shared" si="50"/>
        <v>0.99152288239924002</v>
      </c>
      <c r="L70" s="292">
        <f t="shared" si="50"/>
        <v>0.9931142482549532</v>
      </c>
      <c r="M70" s="292">
        <f t="shared" si="50"/>
        <v>0.99195082962340897</v>
      </c>
      <c r="N70" s="294">
        <f t="shared" si="32"/>
        <v>0.99215409733037774</v>
      </c>
      <c r="O70" s="109">
        <f t="shared" si="3"/>
        <v>8760</v>
      </c>
      <c r="P70" s="148">
        <f t="shared" si="33"/>
        <v>68.730107385891017</v>
      </c>
      <c r="Q70" s="283">
        <f t="shared" si="11"/>
        <v>14.860800000000836</v>
      </c>
      <c r="R70" s="284">
        <f t="shared" si="34"/>
        <v>53.869307385890181</v>
      </c>
      <c r="S70" s="126">
        <f t="shared" si="35"/>
        <v>210090298.80497169</v>
      </c>
      <c r="X70" t="s">
        <v>308</v>
      </c>
      <c r="Y70" s="292">
        <v>0.99482309999999996</v>
      </c>
      <c r="Z70">
        <f t="shared" si="8"/>
        <v>6</v>
      </c>
    </row>
    <row r="71" spans="1:26" x14ac:dyDescent="0.25">
      <c r="A71" s="299">
        <v>2046</v>
      </c>
      <c r="B71" s="292">
        <f t="shared" ref="B71:M71" si="51">NORMINV($Q$19,B153,B112)</f>
        <v>0.99215126106993146</v>
      </c>
      <c r="C71" s="292">
        <f t="shared" si="51"/>
        <v>0.99228362935594616</v>
      </c>
      <c r="D71" s="292">
        <f t="shared" si="51"/>
        <v>0.99208101860174736</v>
      </c>
      <c r="E71" s="292">
        <f t="shared" si="51"/>
        <v>0.99269717476290154</v>
      </c>
      <c r="F71" s="292">
        <f t="shared" si="51"/>
        <v>0.99218477168154173</v>
      </c>
      <c r="G71" s="292">
        <f t="shared" si="51"/>
        <v>0.99129666551684803</v>
      </c>
      <c r="H71" s="292">
        <f t="shared" si="51"/>
        <v>0.99170568392827652</v>
      </c>
      <c r="I71" s="292">
        <f t="shared" si="51"/>
        <v>0.99188749237813378</v>
      </c>
      <c r="J71" s="292">
        <f t="shared" si="51"/>
        <v>0.99270353621858809</v>
      </c>
      <c r="K71" s="292">
        <f t="shared" si="51"/>
        <v>0.99148671985587811</v>
      </c>
      <c r="L71" s="292">
        <f t="shared" si="51"/>
        <v>0.99308738285107923</v>
      </c>
      <c r="M71" s="292">
        <f t="shared" si="51"/>
        <v>0.99191766778393964</v>
      </c>
      <c r="N71" s="294">
        <f t="shared" si="32"/>
        <v>0.99212358366706754</v>
      </c>
      <c r="O71" s="109">
        <f t="shared" si="3"/>
        <v>8760</v>
      </c>
      <c r="P71" s="148">
        <f t="shared" si="33"/>
        <v>68.997407076488315</v>
      </c>
      <c r="Q71" s="283">
        <f t="shared" si="11"/>
        <v>14.860800000000836</v>
      </c>
      <c r="R71" s="284">
        <f t="shared" si="34"/>
        <v>54.136607076487479</v>
      </c>
      <c r="S71" s="126">
        <f t="shared" si="35"/>
        <v>211132767.59830117</v>
      </c>
      <c r="X71" t="s">
        <v>309</v>
      </c>
      <c r="Y71" s="292">
        <v>0.99178460000000002</v>
      </c>
      <c r="Z71">
        <f t="shared" si="8"/>
        <v>8</v>
      </c>
    </row>
    <row r="72" spans="1:26" x14ac:dyDescent="0.25">
      <c r="A72" s="299">
        <v>2047</v>
      </c>
      <c r="B72" s="292">
        <f t="shared" ref="B72:M72" si="52">NORMINV($Q$19,B154,B113)</f>
        <v>0.99212188403908186</v>
      </c>
      <c r="C72" s="292">
        <f t="shared" si="52"/>
        <v>0.99225520271194634</v>
      </c>
      <c r="D72" s="292">
        <f t="shared" si="52"/>
        <v>0.99205166621445273</v>
      </c>
      <c r="E72" s="292">
        <f t="shared" si="52"/>
        <v>0.99267122202067937</v>
      </c>
      <c r="F72" s="292">
        <f t="shared" si="52"/>
        <v>0.99215639405041556</v>
      </c>
      <c r="G72" s="292">
        <f t="shared" si="52"/>
        <v>0.99126244872590796</v>
      </c>
      <c r="H72" s="292">
        <f t="shared" si="52"/>
        <v>0.99167479643755285</v>
      </c>
      <c r="I72" s="292">
        <f t="shared" si="52"/>
        <v>0.99185791031166748</v>
      </c>
      <c r="J72" s="292">
        <f t="shared" si="52"/>
        <v>0.99267646234465867</v>
      </c>
      <c r="K72" s="292">
        <f t="shared" si="52"/>
        <v>0.99145147633509967</v>
      </c>
      <c r="L72" s="292">
        <f t="shared" si="52"/>
        <v>0.99306120019544641</v>
      </c>
      <c r="M72" s="292">
        <f t="shared" si="52"/>
        <v>0.99188534870818523</v>
      </c>
      <c r="N72" s="294">
        <f t="shared" si="32"/>
        <v>0.99209383434125786</v>
      </c>
      <c r="O72" s="109">
        <f t="shared" si="3"/>
        <v>8760</v>
      </c>
      <c r="P72" s="148">
        <f t="shared" si="33"/>
        <v>69.258011170581113</v>
      </c>
      <c r="Q72" s="283">
        <f t="shared" si="11"/>
        <v>14.860800000000836</v>
      </c>
      <c r="R72" s="284">
        <f t="shared" si="34"/>
        <v>54.397211170580277</v>
      </c>
      <c r="S72" s="126">
        <f t="shared" si="35"/>
        <v>212149123.56526309</v>
      </c>
      <c r="X72" t="s">
        <v>310</v>
      </c>
      <c r="Y72" s="292">
        <v>0.99406430000000001</v>
      </c>
      <c r="Z72">
        <f t="shared" si="8"/>
        <v>6</v>
      </c>
    </row>
    <row r="73" spans="1:26" x14ac:dyDescent="0.25">
      <c r="A73" s="299">
        <v>2048</v>
      </c>
      <c r="B73" s="292">
        <f t="shared" ref="B73:M73" si="53">NORMINV($Q$19,B155,B114)</f>
        <v>0.99209322188378812</v>
      </c>
      <c r="C73" s="292">
        <f t="shared" si="53"/>
        <v>0.99222746781630733</v>
      </c>
      <c r="D73" s="292">
        <f t="shared" si="53"/>
        <v>0.99202302810302523</v>
      </c>
      <c r="E73" s="292">
        <f t="shared" si="53"/>
        <v>0.99264590082563853</v>
      </c>
      <c r="F73" s="292">
        <f t="shared" si="53"/>
        <v>0.99212870697494593</v>
      </c>
      <c r="G73" s="292">
        <f t="shared" si="53"/>
        <v>0.99122906458369842</v>
      </c>
      <c r="H73" s="292">
        <f t="shared" si="53"/>
        <v>0.99164466057868117</v>
      </c>
      <c r="I73" s="292">
        <f t="shared" si="53"/>
        <v>0.99182904811019779</v>
      </c>
      <c r="J73" s="292">
        <f t="shared" si="53"/>
        <v>0.99265006159172731</v>
      </c>
      <c r="K73" s="292">
        <f t="shared" si="53"/>
        <v>0.9914171090522006</v>
      </c>
      <c r="L73" s="292">
        <f t="shared" si="53"/>
        <v>0.99303566850300162</v>
      </c>
      <c r="M73" s="292">
        <f t="shared" si="53"/>
        <v>0.99185383316164044</v>
      </c>
      <c r="N73" s="294">
        <f t="shared" si="32"/>
        <v>0.99206481426540438</v>
      </c>
      <c r="O73" s="109">
        <f t="shared" si="3"/>
        <v>8760</v>
      </c>
      <c r="P73" s="148">
        <f t="shared" si="33"/>
        <v>69.512227035057606</v>
      </c>
      <c r="Q73" s="283">
        <f t="shared" si="11"/>
        <v>14.860800000000836</v>
      </c>
      <c r="R73" s="284">
        <f t="shared" si="34"/>
        <v>54.65142703505677</v>
      </c>
      <c r="S73" s="126">
        <f t="shared" si="35"/>
        <v>213140565.43672141</v>
      </c>
      <c r="X73" t="s">
        <v>311</v>
      </c>
      <c r="Y73" s="292">
        <v>0.99464180000000002</v>
      </c>
      <c r="Z73">
        <f t="shared" si="8"/>
        <v>6</v>
      </c>
    </row>
    <row r="74" spans="1:26" x14ac:dyDescent="0.25">
      <c r="A74" s="299">
        <v>2049</v>
      </c>
      <c r="B74" s="292">
        <f t="shared" ref="B74:M74" si="54">NORMINV($Q$19,B156,B115)</f>
        <v>0.99206524270681951</v>
      </c>
      <c r="C74" s="292">
        <f t="shared" si="54"/>
        <v>0.99220039380371683</v>
      </c>
      <c r="D74" s="292">
        <f t="shared" si="54"/>
        <v>0.99199507239699203</v>
      </c>
      <c r="E74" s="292">
        <f t="shared" si="54"/>
        <v>0.99262118299859969</v>
      </c>
      <c r="F74" s="292">
        <f t="shared" si="54"/>
        <v>0.99210167964303841</v>
      </c>
      <c r="G74" s="292">
        <f t="shared" si="54"/>
        <v>0.99119647593803484</v>
      </c>
      <c r="H74" s="292">
        <f t="shared" si="54"/>
        <v>0.99161524281439128</v>
      </c>
      <c r="I74" s="292">
        <f t="shared" si="54"/>
        <v>0.99180087365386871</v>
      </c>
      <c r="J74" s="292">
        <f t="shared" si="54"/>
        <v>0.99262430328809648</v>
      </c>
      <c r="K74" s="292">
        <f t="shared" si="54"/>
        <v>0.99138357808017963</v>
      </c>
      <c r="L74" s="292">
        <f t="shared" si="54"/>
        <v>0.99301075811169948</v>
      </c>
      <c r="M74" s="292">
        <f t="shared" si="54"/>
        <v>0.99182308453037638</v>
      </c>
      <c r="N74" s="294">
        <f t="shared" si="32"/>
        <v>0.99203649066381783</v>
      </c>
      <c r="O74" s="109">
        <f t="shared" si="3"/>
        <v>8760</v>
      </c>
      <c r="P74" s="148">
        <f t="shared" si="33"/>
        <v>69.760341784955841</v>
      </c>
      <c r="Q74" s="283">
        <f t="shared" si="11"/>
        <v>14.860800000000836</v>
      </c>
      <c r="R74" s="284">
        <f t="shared" si="34"/>
        <v>54.899541784955005</v>
      </c>
      <c r="S74" s="126">
        <f t="shared" si="35"/>
        <v>214108212.96132451</v>
      </c>
      <c r="X74" t="s">
        <v>312</v>
      </c>
      <c r="Y74" s="292"/>
      <c r="Z74">
        <f t="shared" si="8"/>
        <v>8</v>
      </c>
    </row>
    <row r="75" spans="1:26" ht="15.75" thickBot="1" x14ac:dyDescent="0.3">
      <c r="A75" s="309">
        <v>2050</v>
      </c>
      <c r="B75" s="301">
        <f t="shared" ref="B75:M75" si="55">NORMINV($Q$19,B157,B116)</f>
        <v>0.99203791665470531</v>
      </c>
      <c r="C75" s="301">
        <f t="shared" si="55"/>
        <v>0.99217395178650447</v>
      </c>
      <c r="D75" s="301">
        <f t="shared" si="55"/>
        <v>0.99196776926792485</v>
      </c>
      <c r="E75" s="301">
        <f t="shared" si="55"/>
        <v>0.99259704216591638</v>
      </c>
      <c r="F75" s="301">
        <f t="shared" si="55"/>
        <v>0.99207528321683014</v>
      </c>
      <c r="G75" s="301">
        <f t="shared" si="55"/>
        <v>0.99116464801719406</v>
      </c>
      <c r="H75" s="301">
        <f t="shared" si="55"/>
        <v>0.99158651175625556</v>
      </c>
      <c r="I75" s="301">
        <f t="shared" si="55"/>
        <v>0.99177335688084811</v>
      </c>
      <c r="J75" s="301">
        <f t="shared" si="55"/>
        <v>0.99259915876814309</v>
      </c>
      <c r="K75" s="301">
        <f t="shared" si="55"/>
        <v>0.99135084610344981</v>
      </c>
      <c r="L75" s="301">
        <f t="shared" si="55"/>
        <v>0.99298644129953162</v>
      </c>
      <c r="M75" s="301">
        <f t="shared" si="55"/>
        <v>0.99179306859518712</v>
      </c>
      <c r="N75" s="302">
        <f t="shared" si="32"/>
        <v>0.99200883287604091</v>
      </c>
      <c r="O75" s="221">
        <f t="shared" si="3"/>
        <v>8760</v>
      </c>
      <c r="P75" s="303">
        <f t="shared" si="33"/>
        <v>70.0026240058816</v>
      </c>
      <c r="Q75" s="304">
        <f t="shared" si="11"/>
        <v>14.860800000000836</v>
      </c>
      <c r="R75" s="305">
        <f t="shared" si="34"/>
        <v>55.141824005880764</v>
      </c>
      <c r="S75" s="175">
        <f t="shared" si="35"/>
        <v>215053113.62293497</v>
      </c>
      <c r="X75" t="s">
        <v>313</v>
      </c>
      <c r="Y75" s="292">
        <v>0.99664763999999995</v>
      </c>
      <c r="Z75">
        <f t="shared" si="8"/>
        <v>4</v>
      </c>
    </row>
    <row r="76" spans="1:26" ht="15.75" thickBot="1" x14ac:dyDescent="0.3">
      <c r="A76" s="23"/>
      <c r="B76" s="325"/>
      <c r="C76" s="325"/>
      <c r="D76" s="325"/>
      <c r="E76" s="325"/>
      <c r="F76" s="325"/>
      <c r="G76" s="325"/>
      <c r="H76" s="325"/>
      <c r="I76" s="325"/>
      <c r="J76" s="325"/>
      <c r="K76" s="325"/>
      <c r="L76" s="325"/>
      <c r="M76" s="325"/>
      <c r="N76" s="326"/>
      <c r="O76" s="327"/>
      <c r="P76" s="328"/>
      <c r="Q76" s="329"/>
      <c r="R76" s="103"/>
      <c r="S76" s="28"/>
      <c r="X76" t="s">
        <v>314</v>
      </c>
      <c r="Y76" s="293">
        <v>0.99893264999999998</v>
      </c>
      <c r="Z76">
        <f t="shared" si="8"/>
        <v>2</v>
      </c>
    </row>
    <row r="77" spans="1:26" ht="30.75" customHeight="1" thickBot="1" x14ac:dyDescent="0.3">
      <c r="A77" s="449" t="s">
        <v>229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1"/>
      <c r="R77" s="282"/>
      <c r="X77" t="s">
        <v>315</v>
      </c>
      <c r="Y77" s="292">
        <v>0.99793189999999998</v>
      </c>
      <c r="Z77">
        <f t="shared" si="8"/>
        <v>3</v>
      </c>
    </row>
    <row r="78" spans="1:26" x14ac:dyDescent="0.25">
      <c r="A78" s="336">
        <v>2012</v>
      </c>
      <c r="B78" s="339">
        <f>STDEV(B$26:B36)</f>
        <v>2.414440859608168E-3</v>
      </c>
      <c r="C78" s="339">
        <f>STDEV(C$26:C36)</f>
        <v>2.3363304183445029E-3</v>
      </c>
      <c r="D78" s="339">
        <f>STDEV(D$26:D36)</f>
        <v>2.4124154538945051E-3</v>
      </c>
      <c r="E78" s="339">
        <f>STDEV(E$26:E36)</f>
        <v>2.1330052570983199E-3</v>
      </c>
      <c r="F78" s="339">
        <f>STDEV(F$26:F36)</f>
        <v>2.332302145882704E-3</v>
      </c>
      <c r="G78" s="339">
        <f>STDEV(G$26:G36)</f>
        <v>2.8122113005013051E-3</v>
      </c>
      <c r="H78" s="339">
        <f>STDEV(H$26:H36)</f>
        <v>2.5385826101912497E-3</v>
      </c>
      <c r="I78" s="339">
        <f>STDEV(I$26:I36)</f>
        <v>2.4312923369722511E-3</v>
      </c>
      <c r="J78" s="339">
        <f>STDEV(J$26:J36)</f>
        <v>2.2095197774742708E-3</v>
      </c>
      <c r="K78" s="339">
        <f>STDEV(K$26:K36)</f>
        <v>2.8762509713591558E-3</v>
      </c>
      <c r="L78" s="339">
        <f>STDEV(L$26:L36)</f>
        <v>2.1367867634539892E-3</v>
      </c>
      <c r="M78" s="339">
        <f>STDEV(M$26:M36)</f>
        <v>2.637584752572775E-3</v>
      </c>
      <c r="N78" s="340">
        <f>STDEV(N$26:N36)</f>
        <v>2.1879030405739818E-3</v>
      </c>
      <c r="X78" t="s">
        <v>316</v>
      </c>
      <c r="Y78" s="292">
        <v>0.99773610000000001</v>
      </c>
      <c r="Z78">
        <f t="shared" si="8"/>
        <v>3</v>
      </c>
    </row>
    <row r="79" spans="1:26" x14ac:dyDescent="0.25">
      <c r="A79" s="299">
        <v>2013</v>
      </c>
      <c r="B79" s="147">
        <f>STDEV(B$26:B37)</f>
        <v>2.3756406182224134E-3</v>
      </c>
      <c r="C79" s="147">
        <f>STDEV(C$26:C37)</f>
        <v>2.2987854174686714E-3</v>
      </c>
      <c r="D79" s="147">
        <f>STDEV(D$26:D37)</f>
        <v>2.3736477609268658E-3</v>
      </c>
      <c r="E79" s="147">
        <f>STDEV(E$26:E37)</f>
        <v>2.0987277064500394E-3</v>
      </c>
      <c r="F79" s="147">
        <f>STDEV(F$26:F37)</f>
        <v>2.2948218796402511E-3</v>
      </c>
      <c r="G79" s="147">
        <f>STDEV(G$26:G37)</f>
        <v>2.7670188590078822E-3</v>
      </c>
      <c r="H79" s="147">
        <f>STDEV(H$26:H37)</f>
        <v>2.4977874017846789E-3</v>
      </c>
      <c r="I79" s="147">
        <f>STDEV(I$26:I37)</f>
        <v>2.3922212911115046E-3</v>
      </c>
      <c r="J79" s="147">
        <f>STDEV(J$26:J37)</f>
        <v>2.1698263833588656E-3</v>
      </c>
      <c r="K79" s="147">
        <f>STDEV(K$26:K37)</f>
        <v>2.8245799410543081E-3</v>
      </c>
      <c r="L79" s="147">
        <f>STDEV(L$26:L37)</f>
        <v>2.0983999972403167E-3</v>
      </c>
      <c r="M79" s="147">
        <f>STDEV(M$26:M37)</f>
        <v>2.590201292979401E-3</v>
      </c>
      <c r="N79" s="310">
        <f>STDEV(N$26:N37)</f>
        <v>2.1620535957361793E-3</v>
      </c>
      <c r="X79" t="s">
        <v>317</v>
      </c>
      <c r="Y79" s="292">
        <v>0.99746573999999999</v>
      </c>
      <c r="Z79">
        <f t="shared" si="8"/>
        <v>3</v>
      </c>
    </row>
    <row r="80" spans="1:26" x14ac:dyDescent="0.25">
      <c r="A80" s="299">
        <v>2014</v>
      </c>
      <c r="B80" s="147">
        <f>STDEV(B$26:B38)</f>
        <v>2.3411251928365105E-3</v>
      </c>
      <c r="C80" s="147">
        <f>STDEV(C$26:C38)</f>
        <v>2.2653866129751636E-3</v>
      </c>
      <c r="D80" s="147">
        <f>STDEV(D$26:D38)</f>
        <v>2.3391612895488846E-3</v>
      </c>
      <c r="E80" s="147">
        <f>STDEV(E$26:E38)</f>
        <v>2.0682355187842546E-3</v>
      </c>
      <c r="F80" s="147">
        <f>STDEV(F$26:F38)</f>
        <v>2.2614806609588104E-3</v>
      </c>
      <c r="G80" s="147">
        <f>STDEV(G$26:G38)</f>
        <v>2.7268171415271826E-3</v>
      </c>
      <c r="H80" s="147">
        <f>STDEV(H$26:H38)</f>
        <v>2.4614973190024468E-3</v>
      </c>
      <c r="I80" s="147">
        <f>STDEV(I$26:I38)</f>
        <v>2.3574649669240188E-3</v>
      </c>
      <c r="J80" s="147">
        <f>STDEV(J$26:J38)</f>
        <v>2.1349571145157604E-3</v>
      </c>
      <c r="K80" s="147">
        <f>STDEV(K$26:K38)</f>
        <v>2.7791887346016275E-3</v>
      </c>
      <c r="L80" s="147">
        <f>STDEV(L$26:L38)</f>
        <v>2.064678555651565E-3</v>
      </c>
      <c r="M80" s="147">
        <f>STDEV(M$26:M38)</f>
        <v>2.5485765685611837E-3</v>
      </c>
      <c r="N80" s="310">
        <f>STDEV(N$26:N38)</f>
        <v>2.1392109599976763E-3</v>
      </c>
      <c r="X80" t="s">
        <v>318</v>
      </c>
      <c r="Y80" s="292">
        <v>0.99804599999999999</v>
      </c>
      <c r="Z80">
        <f t="shared" si="8"/>
        <v>2</v>
      </c>
    </row>
    <row r="81" spans="1:26" x14ac:dyDescent="0.25">
      <c r="A81" s="299">
        <v>2015</v>
      </c>
      <c r="B81" s="147">
        <f>STDEV(B$26:B39)</f>
        <v>2.3101006531997862E-3</v>
      </c>
      <c r="C81" s="147">
        <f>STDEV(C$26:C39)</f>
        <v>2.2353657593352999E-3</v>
      </c>
      <c r="D81" s="147">
        <f>STDEV(D$26:D39)</f>
        <v>2.3081627755153918E-3</v>
      </c>
      <c r="E81" s="147">
        <f>STDEV(E$26:E39)</f>
        <v>2.0408273071145185E-3</v>
      </c>
      <c r="F81" s="147">
        <f>STDEV(F$26:F39)</f>
        <v>2.2315115689092776E-3</v>
      </c>
      <c r="G81" s="147">
        <f>STDEV(G$26:G39)</f>
        <v>2.6906814206574727E-3</v>
      </c>
      <c r="H81" s="147">
        <f>STDEV(H$26:H39)</f>
        <v>2.4288776105935413E-3</v>
      </c>
      <c r="I81" s="147">
        <f>STDEV(I$26:I39)</f>
        <v>2.3262238929599721E-3</v>
      </c>
      <c r="J81" s="147">
        <f>STDEV(J$26:J39)</f>
        <v>2.1039385537019403E-3</v>
      </c>
      <c r="K81" s="147">
        <f>STDEV(K$26:K39)</f>
        <v>2.7388102023157743E-3</v>
      </c>
      <c r="L81" s="147">
        <f>STDEV(L$26:L39)</f>
        <v>2.0346810644120161E-3</v>
      </c>
      <c r="M81" s="147">
        <f>STDEV(M$26:M39)</f>
        <v>2.511548575472628E-3</v>
      </c>
      <c r="N81" s="310">
        <f>STDEV(N$26:N39)</f>
        <v>2.1187347947305216E-3</v>
      </c>
      <c r="X81" t="s">
        <v>319</v>
      </c>
      <c r="Y81" s="292">
        <v>0.99660959999999998</v>
      </c>
      <c r="Z81">
        <f t="shared" si="8"/>
        <v>4</v>
      </c>
    </row>
    <row r="82" spans="1:26" x14ac:dyDescent="0.25">
      <c r="A82" s="299">
        <v>2016</v>
      </c>
      <c r="B82" s="147">
        <f>STDEV(B$26:B40)</f>
        <v>2.2819692744020154E-3</v>
      </c>
      <c r="C82" s="147">
        <f>STDEV(C$26:C40)</f>
        <v>2.2081444688515626E-3</v>
      </c>
      <c r="D82" s="147">
        <f>STDEV(D$26:D40)</f>
        <v>2.2800549953305772E-3</v>
      </c>
      <c r="E82" s="147">
        <f>STDEV(E$26:E40)</f>
        <v>2.0159750194197125E-3</v>
      </c>
      <c r="F82" s="147">
        <f>STDEV(F$26:F40)</f>
        <v>2.2043372130431615E-3</v>
      </c>
      <c r="G82" s="147">
        <f>STDEV(G$26:G40)</f>
        <v>2.6579154984610618E-3</v>
      </c>
      <c r="H82" s="147">
        <f>STDEV(H$26:H40)</f>
        <v>2.3992998188110157E-3</v>
      </c>
      <c r="I82" s="147">
        <f>STDEV(I$26:I40)</f>
        <v>2.2978961725160013E-3</v>
      </c>
      <c r="J82" s="147">
        <f>STDEV(J$26:J40)</f>
        <v>2.0760572061976445E-3</v>
      </c>
      <c r="K82" s="147">
        <f>STDEV(K$26:K40)</f>
        <v>2.7025155496678767E-3</v>
      </c>
      <c r="L82" s="147">
        <f>STDEV(L$26:L40)</f>
        <v>2.0077175156346682E-3</v>
      </c>
      <c r="M82" s="147">
        <f>STDEV(M$26:M40)</f>
        <v>2.4782655889122626E-3</v>
      </c>
      <c r="N82" s="310">
        <f>STDEV(N$26:N40)</f>
        <v>2.100166721235574E-3</v>
      </c>
      <c r="X82" t="s">
        <v>320</v>
      </c>
      <c r="Y82" s="292">
        <v>0.99556129999999998</v>
      </c>
      <c r="Z82">
        <f t="shared" si="8"/>
        <v>5</v>
      </c>
    </row>
    <row r="83" spans="1:26" x14ac:dyDescent="0.25">
      <c r="A83" s="299">
        <v>2017</v>
      </c>
      <c r="B83" s="147">
        <f>STDEV(B$26:B41)</f>
        <v>2.2562707686570043E-3</v>
      </c>
      <c r="C83" s="147">
        <f>STDEV(C$26:C41)</f>
        <v>2.1832773446728427E-3</v>
      </c>
      <c r="D83" s="147">
        <f>STDEV(D$26:D41)</f>
        <v>2.2543780473305774E-3</v>
      </c>
      <c r="E83" s="147">
        <f>STDEV(E$26:E41)</f>
        <v>1.9932720206547899E-3</v>
      </c>
      <c r="F83" s="147">
        <f>STDEV(F$26:F41)</f>
        <v>2.179512964457178E-3</v>
      </c>
      <c r="G83" s="147">
        <f>STDEV(G$26:G41)</f>
        <v>2.6279832563957882E-3</v>
      </c>
      <c r="H83" s="147">
        <f>STDEV(H$26:H41)</f>
        <v>2.3722799895480404E-3</v>
      </c>
      <c r="I83" s="147">
        <f>STDEV(I$26:I41)</f>
        <v>2.2720183052487961E-3</v>
      </c>
      <c r="J83" s="147">
        <f>STDEV(J$26:J41)</f>
        <v>2.0507759044532952E-3</v>
      </c>
      <c r="K83" s="147">
        <f>STDEV(K$26:K41)</f>
        <v>2.6696055167092256E-3</v>
      </c>
      <c r="L83" s="147">
        <f>STDEV(L$26:L41)</f>
        <v>1.9832684242615311E-3</v>
      </c>
      <c r="M83" s="147">
        <f>STDEV(M$26:M41)</f>
        <v>2.4480863722852295E-3</v>
      </c>
      <c r="N83" s="310">
        <f>STDEV(N$26:N41)</f>
        <v>2.0831688011359005E-3</v>
      </c>
      <c r="X83" t="s">
        <v>321</v>
      </c>
      <c r="Y83" s="292">
        <v>0.99178460000000002</v>
      </c>
      <c r="Z83">
        <f t="shared" si="8"/>
        <v>8</v>
      </c>
    </row>
    <row r="84" spans="1:26" x14ac:dyDescent="0.25">
      <c r="A84" s="299">
        <v>2018</v>
      </c>
      <c r="B84" s="147">
        <f>STDEV(B$26:B42)</f>
        <v>2.2326437740442288E-3</v>
      </c>
      <c r="C84" s="147">
        <f>STDEV(C$26:C42)</f>
        <v>2.1604147154275577E-3</v>
      </c>
      <c r="D84" s="147">
        <f>STDEV(D$26:D42)</f>
        <v>2.2307708727310762E-3</v>
      </c>
      <c r="E84" s="147">
        <f>STDEV(E$26:E42)</f>
        <v>1.972399070498261E-3</v>
      </c>
      <c r="F84" s="147">
        <f>STDEV(F$26:F42)</f>
        <v>2.1566897546788769E-3</v>
      </c>
      <c r="G84" s="147">
        <f>STDEV(G$26:G42)</f>
        <v>2.6004637994654156E-3</v>
      </c>
      <c r="H84" s="147">
        <f>STDEV(H$26:H42)</f>
        <v>2.3474381809709568E-3</v>
      </c>
      <c r="I84" s="147">
        <f>STDEV(I$26:I42)</f>
        <v>2.2482264071291449E-3</v>
      </c>
      <c r="J84" s="147">
        <f>STDEV(J$26:J42)</f>
        <v>2.0276809938629173E-3</v>
      </c>
      <c r="K84" s="147">
        <f>STDEV(K$26:K42)</f>
        <v>2.6395416269462779E-3</v>
      </c>
      <c r="L84" s="147">
        <f>STDEV(L$26:L42)</f>
        <v>1.9609337523768182E-3</v>
      </c>
      <c r="M84" s="147">
        <f>STDEV(M$26:M42)</f>
        <v>2.4205171309250812E-3</v>
      </c>
      <c r="N84" s="310">
        <f>STDEV(N$26:N42)</f>
        <v>2.0674854891426326E-3</v>
      </c>
      <c r="X84" t="s">
        <v>322</v>
      </c>
      <c r="Y84" s="292">
        <v>0.99284859999999997</v>
      </c>
      <c r="Z84">
        <f t="shared" si="8"/>
        <v>8</v>
      </c>
    </row>
    <row r="85" spans="1:26" x14ac:dyDescent="0.25">
      <c r="A85" s="299">
        <v>2019</v>
      </c>
      <c r="B85" s="147">
        <f>STDEV(B$26:B43)</f>
        <v>2.2107998185651313E-3</v>
      </c>
      <c r="C85" s="147">
        <f>STDEV(C$26:C43)</f>
        <v>2.1392774415781276E-3</v>
      </c>
      <c r="D85" s="147">
        <f>STDEV(D$26:D43)</f>
        <v>2.2089452415244761E-3</v>
      </c>
      <c r="E85" s="147">
        <f>STDEV(E$26:E43)</f>
        <v>1.9531013222484634E-3</v>
      </c>
      <c r="F85" s="147">
        <f>STDEV(F$26:F43)</f>
        <v>2.1355889254596719E-3</v>
      </c>
      <c r="G85" s="147">
        <f>STDEV(G$26:G43)</f>
        <v>2.5750211309479853E-3</v>
      </c>
      <c r="H85" s="147">
        <f>STDEV(H$26:H43)</f>
        <v>2.3244710889022612E-3</v>
      </c>
      <c r="I85" s="147">
        <f>STDEV(I$26:I43)</f>
        <v>2.2262299927816426E-3</v>
      </c>
      <c r="J85" s="147">
        <f>STDEV(J$26:J43)</f>
        <v>2.0064477232005769E-3</v>
      </c>
      <c r="K85" s="147">
        <f>STDEV(K$26:K43)</f>
        <v>2.6119011342064847E-3</v>
      </c>
      <c r="L85" s="147">
        <f>STDEV(L$26:L43)</f>
        <v>1.9403994389216126E-3</v>
      </c>
      <c r="M85" s="147">
        <f>STDEV(M$26:M43)</f>
        <v>2.3951701973890234E-3</v>
      </c>
      <c r="N85" s="310">
        <f>STDEV(N$26:N43)</f>
        <v>2.0529192433231076E-3</v>
      </c>
      <c r="X85" t="s">
        <v>323</v>
      </c>
      <c r="Y85" s="292">
        <v>0.99394165000000001</v>
      </c>
      <c r="Z85">
        <f t="shared" si="8"/>
        <v>7</v>
      </c>
    </row>
    <row r="86" spans="1:26" x14ac:dyDescent="0.25">
      <c r="A86" s="299">
        <v>2020</v>
      </c>
      <c r="B86" s="147">
        <f>STDEV(B$26:B44)</f>
        <v>2.1905052381408154E-3</v>
      </c>
      <c r="C86" s="147">
        <f>STDEV(C$26:C44)</f>
        <v>2.1196394183959871E-3</v>
      </c>
      <c r="D86" s="147">
        <f>STDEV(D$26:D44)</f>
        <v>2.1886676856460148E-3</v>
      </c>
      <c r="E86" s="147">
        <f>STDEV(E$26:E44)</f>
        <v>1.9351723485221371E-3</v>
      </c>
      <c r="F86" s="147">
        <f>STDEV(F$26:F44)</f>
        <v>2.1159847619180105E-3</v>
      </c>
      <c r="G86" s="147">
        <f>STDEV(G$26:G44)</f>
        <v>2.5513830914486568E-3</v>
      </c>
      <c r="H86" s="147">
        <f>STDEV(H$26:H44)</f>
        <v>2.3031330351076132E-3</v>
      </c>
      <c r="I86" s="147">
        <f>STDEV(I$26:I44)</f>
        <v>2.2057937672798488E-3</v>
      </c>
      <c r="J86" s="147">
        <f>STDEV(J$26:J44)</f>
        <v>1.9868168464587288E-3</v>
      </c>
      <c r="K86" s="147">
        <f>STDEV(K$26:K44)</f>
        <v>2.5863465639903447E-3</v>
      </c>
      <c r="L86" s="147">
        <f>STDEV(L$26:L44)</f>
        <v>1.9214147717533726E-3</v>
      </c>
      <c r="M86" s="147">
        <f>STDEV(M$26:M44)</f>
        <v>2.371736100214687E-3</v>
      </c>
      <c r="N86" s="310">
        <f>STDEV(N$26:N44)</f>
        <v>2.0393143934183009E-3</v>
      </c>
      <c r="X86" t="s">
        <v>324</v>
      </c>
      <c r="Y86" s="292"/>
      <c r="Z86">
        <f t="shared" si="8"/>
        <v>8</v>
      </c>
    </row>
    <row r="87" spans="1:26" x14ac:dyDescent="0.25">
      <c r="A87" s="299">
        <v>2021</v>
      </c>
      <c r="B87" s="147">
        <f>STDEV(B$26:B45)</f>
        <v>2.1715683204318564E-3</v>
      </c>
      <c r="C87" s="147">
        <f>STDEV(C$26:C45)</f>
        <v>2.1013151356962987E-3</v>
      </c>
      <c r="D87" s="147">
        <f>STDEV(D$26:D45)</f>
        <v>2.1697466535783045E-3</v>
      </c>
      <c r="E87" s="147">
        <f>STDEV(E$26:E45)</f>
        <v>1.9184427836352106E-3</v>
      </c>
      <c r="F87" s="147">
        <f>STDEV(F$26:F45)</f>
        <v>2.0976920737234553E-3</v>
      </c>
      <c r="G87" s="147">
        <f>STDEV(G$26:G45)</f>
        <v>2.5293263847101731E-3</v>
      </c>
      <c r="H87" s="147">
        <f>STDEV(H$26:H45)</f>
        <v>2.2832224500977175E-3</v>
      </c>
      <c r="I87" s="147">
        <f>STDEV(I$26:I45)</f>
        <v>2.1867246802370083E-3</v>
      </c>
      <c r="J87" s="147">
        <f>STDEV(J$26:J45)</f>
        <v>1.9685783727894984E-3</v>
      </c>
      <c r="K87" s="147">
        <f>STDEV(K$26:K45)</f>
        <v>2.5626045598942143E-3</v>
      </c>
      <c r="L87" s="147">
        <f>STDEV(L$26:L45)</f>
        <v>1.9037766725069456E-3</v>
      </c>
      <c r="M87" s="147">
        <f>STDEV(M$26:M45)</f>
        <v>2.3499641656293557E-3</v>
      </c>
      <c r="N87" s="310">
        <f>STDEV(N$26:N45)</f>
        <v>2.0265461731472324E-3</v>
      </c>
      <c r="X87" t="s">
        <v>325</v>
      </c>
      <c r="Y87" s="292">
        <v>0.99664763999999995</v>
      </c>
      <c r="Z87">
        <f t="shared" si="8"/>
        <v>4</v>
      </c>
    </row>
    <row r="88" spans="1:26" x14ac:dyDescent="0.25">
      <c r="A88" s="299">
        <v>2022</v>
      </c>
      <c r="B88" s="147">
        <f>STDEV(B$26:B46)</f>
        <v>2.1538299734828767E-3</v>
      </c>
      <c r="C88" s="147">
        <f>STDEV(C$26:C46)</f>
        <v>2.0841506483645234E-3</v>
      </c>
      <c r="D88" s="147">
        <f>STDEV(D$26:D46)</f>
        <v>2.1520231868236784E-3</v>
      </c>
      <c r="E88" s="147">
        <f>STDEV(E$26:E46)</f>
        <v>1.9027720799425253E-3</v>
      </c>
      <c r="F88" s="147">
        <f>STDEV(F$26:F46)</f>
        <v>2.0805571811917585E-3</v>
      </c>
      <c r="G88" s="147">
        <f>STDEV(G$26:G46)</f>
        <v>2.5086657089501392E-3</v>
      </c>
      <c r="H88" s="147">
        <f>STDEV(H$26:H46)</f>
        <v>2.264572061988583E-3</v>
      </c>
      <c r="I88" s="147">
        <f>STDEV(I$26:I46)</f>
        <v>2.1688625293228608E-3</v>
      </c>
      <c r="J88" s="147">
        <f>STDEV(J$26:J46)</f>
        <v>1.9515600128239285E-3</v>
      </c>
      <c r="K88" s="147">
        <f>STDEV(K$26:K46)</f>
        <v>2.5404508435613788E-3</v>
      </c>
      <c r="L88" s="147">
        <f>STDEV(L$26:L46)</f>
        <v>1.8873185232380937E-3</v>
      </c>
      <c r="M88" s="147">
        <f>STDEV(M$26:M46)</f>
        <v>2.3296487254976985E-3</v>
      </c>
      <c r="N88" s="310">
        <f>STDEV(N$26:N46)</f>
        <v>2.0145130789649668E-3</v>
      </c>
      <c r="X88" t="s">
        <v>326</v>
      </c>
      <c r="Y88" s="293">
        <v>0.99893264999999998</v>
      </c>
      <c r="Z88">
        <f t="shared" si="8"/>
        <v>2</v>
      </c>
    </row>
    <row r="89" spans="1:26" x14ac:dyDescent="0.25">
      <c r="A89" s="299">
        <v>2023</v>
      </c>
      <c r="B89" s="147">
        <f>STDEV(B$26:B47)</f>
        <v>2.1371568276366028E-3</v>
      </c>
      <c r="C89" s="147">
        <f>STDEV(C$26:C47)</f>
        <v>2.0680169014329528E-3</v>
      </c>
      <c r="D89" s="147">
        <f>STDEV(D$26:D47)</f>
        <v>2.1353640276048748E-3</v>
      </c>
      <c r="E89" s="147">
        <f>STDEV(E$26:E47)</f>
        <v>1.8880424138167356E-3</v>
      </c>
      <c r="F89" s="147">
        <f>STDEV(F$26:F47)</f>
        <v>2.0644512518702158E-3</v>
      </c>
      <c r="G89" s="147">
        <f>STDEV(G$26:G47)</f>
        <v>2.489245722340311E-3</v>
      </c>
      <c r="H89" s="147">
        <f>STDEV(H$26:H47)</f>
        <v>2.2470416437411801E-3</v>
      </c>
      <c r="I89" s="147">
        <f>STDEV(I$26:I47)</f>
        <v>2.1520730140328335E-3</v>
      </c>
      <c r="J89" s="147">
        <f>STDEV(J$26:J47)</f>
        <v>1.9356187927050306E-3</v>
      </c>
      <c r="K89" s="147">
        <f>STDEV(K$26:K47)</f>
        <v>2.5196992982169488E-3</v>
      </c>
      <c r="L89" s="147">
        <f>STDEV(L$26:L47)</f>
        <v>1.8719020565059774E-3</v>
      </c>
      <c r="M89" s="147">
        <f>STDEV(M$26:M47)</f>
        <v>2.3106191066856511E-3</v>
      </c>
      <c r="N89" s="310">
        <f>STDEV(N$26:N47)</f>
        <v>2.0031314289238149E-3</v>
      </c>
      <c r="X89" t="s">
        <v>327</v>
      </c>
      <c r="Y89" s="292">
        <v>0.99686646000000001</v>
      </c>
      <c r="Z89">
        <f t="shared" si="8"/>
        <v>4</v>
      </c>
    </row>
    <row r="90" spans="1:26" x14ac:dyDescent="0.25">
      <c r="A90" s="299">
        <v>2024</v>
      </c>
      <c r="B90" s="147">
        <f>STDEV(B$26:B48)</f>
        <v>2.1214360521800337E-3</v>
      </c>
      <c r="C90" s="147">
        <f>STDEV(C$26:C48)</f>
        <v>2.0528047144154132E-3</v>
      </c>
      <c r="D90" s="147">
        <f>STDEV(D$26:D48)</f>
        <v>2.1196564398593665E-3</v>
      </c>
      <c r="E90" s="147">
        <f>STDEV(E$26:E48)</f>
        <v>1.8741541064841653E-3</v>
      </c>
      <c r="F90" s="147">
        <f>STDEV(F$26:F48)</f>
        <v>2.049265293520312E-3</v>
      </c>
      <c r="G90" s="147">
        <f>STDEV(G$26:G48)</f>
        <v>2.4709350057138574E-3</v>
      </c>
      <c r="H90" s="147">
        <f>STDEV(H$26:H48)</f>
        <v>2.2305125632984075E-3</v>
      </c>
      <c r="I90" s="147">
        <f>STDEV(I$26:I48)</f>
        <v>2.1362425161572216E-3</v>
      </c>
      <c r="J90" s="147">
        <f>STDEV(J$26:J48)</f>
        <v>1.9206348548682962E-3</v>
      </c>
      <c r="K90" s="147">
        <f>STDEV(K$26:K48)</f>
        <v>2.5001938988097536E-3</v>
      </c>
      <c r="L90" s="147">
        <f>STDEV(L$26:L48)</f>
        <v>1.8574113602196703E-3</v>
      </c>
      <c r="M90" s="147">
        <f>STDEV(M$26:M48)</f>
        <v>2.2927322308248415E-3</v>
      </c>
      <c r="N90" s="310">
        <f>STDEV(N$26:N48)</f>
        <v>1.9923314114873593E-3</v>
      </c>
      <c r="X90" t="s">
        <v>328</v>
      </c>
      <c r="Y90" s="293">
        <v>0.99880159999999996</v>
      </c>
      <c r="Z90">
        <f t="shared" si="8"/>
        <v>2</v>
      </c>
    </row>
    <row r="91" spans="1:26" x14ac:dyDescent="0.25">
      <c r="A91" s="299">
        <v>2025</v>
      </c>
      <c r="B91" s="147">
        <f>STDEV(B$26:B49)</f>
        <v>2.1065714028710909E-3</v>
      </c>
      <c r="C91" s="147">
        <f>STDEV(C$26:C49)</f>
        <v>2.0384209567017764E-3</v>
      </c>
      <c r="D91" s="147">
        <f>STDEV(D$26:D49)</f>
        <v>2.1048042600816282E-3</v>
      </c>
      <c r="E91" s="147">
        <f>STDEV(E$26:E49)</f>
        <v>1.8610221322654793E-3</v>
      </c>
      <c r="F91" s="147">
        <f>STDEV(F$26:F49)</f>
        <v>2.0349063361065926E-3</v>
      </c>
      <c r="G91" s="147">
        <f>STDEV(G$26:G49)</f>
        <v>2.4536214589362419E-3</v>
      </c>
      <c r="H91" s="147">
        <f>STDEV(H$26:H49)</f>
        <v>2.2148836278899765E-3</v>
      </c>
      <c r="I91" s="147">
        <f>STDEV(I$26:I49)</f>
        <v>2.1212741197217501E-3</v>
      </c>
      <c r="J91" s="147">
        <f>STDEV(J$26:J49)</f>
        <v>1.9065067998294738E-3</v>
      </c>
      <c r="K91" s="147">
        <f>STDEV(K$26:K49)</f>
        <v>2.481802648166448E-3</v>
      </c>
      <c r="L91" s="147">
        <f>STDEV(L$26:L49)</f>
        <v>1.8437483727650663E-3</v>
      </c>
      <c r="M91" s="147">
        <f>STDEV(M$26:M49)</f>
        <v>2.275867053633928E-3</v>
      </c>
      <c r="N91" s="310">
        <f>STDEV(N$26:N49)</f>
        <v>1.9820541650900953E-3</v>
      </c>
      <c r="X91" t="s">
        <v>329</v>
      </c>
      <c r="Y91" s="292">
        <v>0.99746573999999999</v>
      </c>
      <c r="Z91">
        <f t="shared" si="8"/>
        <v>3</v>
      </c>
    </row>
    <row r="92" spans="1:26" x14ac:dyDescent="0.25">
      <c r="A92" s="299">
        <v>2026</v>
      </c>
      <c r="B92" s="147">
        <f>STDEV(B$26:B50)</f>
        <v>2.0924801678250016E-3</v>
      </c>
      <c r="C92" s="147">
        <f>STDEV(C$26:C50)</f>
        <v>2.0247855922490843E-3</v>
      </c>
      <c r="D92" s="147">
        <f>STDEV(D$26:D50)</f>
        <v>2.0907248457715261E-3</v>
      </c>
      <c r="E92" s="147">
        <f>STDEV(E$26:E50)</f>
        <v>1.8485734204601225E-3</v>
      </c>
      <c r="F92" s="147">
        <f>STDEV(F$26:F50)</f>
        <v>2.0212944815832671E-3</v>
      </c>
      <c r="G92" s="147">
        <f>STDEV(G$26:G50)</f>
        <v>2.4372087436373958E-3</v>
      </c>
      <c r="H92" s="147">
        <f>STDEV(H$26:H50)</f>
        <v>2.2000678728874069E-3</v>
      </c>
      <c r="I92" s="147">
        <f>STDEV(I$26:I50)</f>
        <v>2.1070845355579044E-3</v>
      </c>
      <c r="J92" s="147">
        <f>STDEV(J$26:J50)</f>
        <v>1.8931481341485279E-3</v>
      </c>
      <c r="K92" s="147">
        <f>STDEV(K$26:K50)</f>
        <v>2.4644129531147746E-3</v>
      </c>
      <c r="L92" s="147">
        <f>STDEV(L$26:L50)</f>
        <v>1.8308294478948336E-3</v>
      </c>
      <c r="M92" s="147">
        <f>STDEV(M$26:M50)</f>
        <v>2.2599203247229611E-3</v>
      </c>
      <c r="N92" s="310">
        <f>STDEV(N$26:N50)</f>
        <v>1.9722495846491005E-3</v>
      </c>
      <c r="X92" t="s">
        <v>330</v>
      </c>
      <c r="Y92" s="292">
        <v>0.99804599999999999</v>
      </c>
      <c r="Z92">
        <f t="shared" ref="Z92:Z155" si="56">IF(Y92&gt;0.999,1,IF(Y92&gt;0.998,2,IF(Y92&gt;0.997,3,IF(Y92&gt;0.996,4,IF(Y92&gt;0.995,5,IF(Y92&gt;0.994,6,IF(Y92&gt;0.993,7,IF(Y90&gt;0.992,8,9))))))))</f>
        <v>2</v>
      </c>
    </row>
    <row r="93" spans="1:26" x14ac:dyDescent="0.25">
      <c r="A93" s="299">
        <v>2027</v>
      </c>
      <c r="B93" s="147">
        <f>STDEV(B$26:B51)</f>
        <v>2.079090779002687E-3</v>
      </c>
      <c r="C93" s="147">
        <f>STDEV(C$26:C51)</f>
        <v>2.0118293683415332E-3</v>
      </c>
      <c r="D93" s="147">
        <f>STDEV(D$26:D51)</f>
        <v>2.0773466889263798E-3</v>
      </c>
      <c r="E93" s="147">
        <f>STDEV(E$26:E51)</f>
        <v>1.8367447452479336E-3</v>
      </c>
      <c r="F93" s="147">
        <f>STDEV(F$26:F51)</f>
        <v>2.0083605966392274E-3</v>
      </c>
      <c r="G93" s="147">
        <f>STDEV(G$26:G51)</f>
        <v>2.4216135012014145E-3</v>
      </c>
      <c r="H93" s="147">
        <f>STDEV(H$26:H51)</f>
        <v>2.1859900504838593E-3</v>
      </c>
      <c r="I93" s="147">
        <f>STDEV(I$26:I51)</f>
        <v>2.0936016961208147E-3</v>
      </c>
      <c r="J93" s="147">
        <f>STDEV(J$26:J51)</f>
        <v>1.8804845257377259E-3</v>
      </c>
      <c r="K93" s="147">
        <f>STDEV(K$26:K51)</f>
        <v>2.4479280515701746E-3</v>
      </c>
      <c r="L93" s="147">
        <f>STDEV(L$26:L51)</f>
        <v>1.8185827003863193E-3</v>
      </c>
      <c r="M93" s="147">
        <f>STDEV(M$26:M51)</f>
        <v>2.2448033111540271E-3</v>
      </c>
      <c r="N93" s="310">
        <f>STDEV(N$26:N51)</f>
        <v>1.9628746498453089E-3</v>
      </c>
      <c r="X93" t="s">
        <v>331</v>
      </c>
      <c r="Y93" s="292">
        <v>0.99646310000000005</v>
      </c>
      <c r="Z93">
        <f t="shared" si="56"/>
        <v>4</v>
      </c>
    </row>
    <row r="94" spans="1:26" x14ac:dyDescent="0.25">
      <c r="A94" s="299">
        <v>2028</v>
      </c>
      <c r="B94" s="147">
        <f>STDEV(B$26:B52)</f>
        <v>2.0663409236385166E-3</v>
      </c>
      <c r="C94" s="147">
        <f>STDEV(C$26:C52)</f>
        <v>1.999491988116098E-3</v>
      </c>
      <c r="D94" s="147">
        <f>STDEV(D$26:D52)</f>
        <v>2.0646075290529646E-3</v>
      </c>
      <c r="E94" s="147">
        <f>STDEV(E$26:E52)</f>
        <v>1.8254810572554069E-3</v>
      </c>
      <c r="F94" s="147">
        <f>STDEV(F$26:F52)</f>
        <v>1.9960444883745658E-3</v>
      </c>
      <c r="G94" s="147">
        <f>STDEV(G$26:G52)</f>
        <v>2.4067631530588223E-3</v>
      </c>
      <c r="H94" s="147">
        <f>STDEV(H$26:H52)</f>
        <v>2.1725846440183616E-3</v>
      </c>
      <c r="I94" s="147">
        <f>STDEV(I$26:I52)</f>
        <v>2.0807628537358137E-3</v>
      </c>
      <c r="J94" s="147">
        <f>STDEV(J$26:J52)</f>
        <v>1.8684516573375365E-3</v>
      </c>
      <c r="K94" s="147">
        <f>STDEV(K$26:K52)</f>
        <v>2.4322642182896797E-3</v>
      </c>
      <c r="L94" s="147">
        <f>STDEV(L$26:L52)</f>
        <v>1.806945930176761E-3</v>
      </c>
      <c r="M94" s="147">
        <f>STDEV(M$26:M52)</f>
        <v>2.2304392350567478E-3</v>
      </c>
      <c r="N94" s="310">
        <f>STDEV(N$26:N52)</f>
        <v>1.9538921339533207E-3</v>
      </c>
      <c r="X94" t="s">
        <v>332</v>
      </c>
      <c r="Y94" s="292">
        <v>0.99570970000000003</v>
      </c>
      <c r="Z94">
        <f t="shared" si="56"/>
        <v>5</v>
      </c>
    </row>
    <row r="95" spans="1:26" x14ac:dyDescent="0.25">
      <c r="A95" s="299">
        <v>2029</v>
      </c>
      <c r="B95" s="147">
        <f>STDEV(B$26:B53)</f>
        <v>2.0541760358957395E-3</v>
      </c>
      <c r="C95" s="147">
        <f>STDEV(C$26:C53)</f>
        <v>1.9877206510149604E-3</v>
      </c>
      <c r="D95" s="147">
        <f>STDEV(D$26:D53)</f>
        <v>2.0524528460882504E-3</v>
      </c>
      <c r="E95" s="147">
        <f>STDEV(E$26:E53)</f>
        <v>1.8147341510290143E-3</v>
      </c>
      <c r="F95" s="147">
        <f>STDEV(F$26:F53)</f>
        <v>1.9842934472695389E-3</v>
      </c>
      <c r="G95" s="147">
        <f>STDEV(G$26:G53)</f>
        <v>2.3925941438476673E-3</v>
      </c>
      <c r="H95" s="147">
        <f>STDEV(H$26:H53)</f>
        <v>2.159794282077679E-3</v>
      </c>
      <c r="I95" s="147">
        <f>STDEV(I$26:I53)</f>
        <v>2.0685130617264279E-3</v>
      </c>
      <c r="J95" s="147">
        <f>STDEV(J$26:J53)</f>
        <v>1.8569935292814753E-3</v>
      </c>
      <c r="K95" s="147">
        <f>STDEV(K$26:K53)</f>
        <v>2.4173485554894549E-3</v>
      </c>
      <c r="L95" s="147">
        <f>STDEV(L$26:L53)</f>
        <v>1.7958649809977638E-3</v>
      </c>
      <c r="M95" s="147">
        <f>STDEV(M$26:M53)</f>
        <v>2.2167612475764648E-3</v>
      </c>
      <c r="N95" s="310">
        <f>STDEV(N$26:N53)</f>
        <v>1.9452695943281721E-3</v>
      </c>
      <c r="X95" t="s">
        <v>333</v>
      </c>
      <c r="Y95" s="292">
        <v>0.9894695</v>
      </c>
      <c r="Z95">
        <f t="shared" si="56"/>
        <v>8</v>
      </c>
    </row>
    <row r="96" spans="1:26" x14ac:dyDescent="0.25">
      <c r="A96" s="299">
        <v>2030</v>
      </c>
      <c r="B96" s="147">
        <f>STDEV(B$26:B54)</f>
        <v>2.0425480810336129E-3</v>
      </c>
      <c r="C96" s="147">
        <f>STDEV(C$26:C54)</f>
        <v>1.9764688762864894E-3</v>
      </c>
      <c r="D96" s="147">
        <f>STDEV(D$26:D54)</f>
        <v>2.040834645586481E-3</v>
      </c>
      <c r="E96" s="147">
        <f>STDEV(E$26:E54)</f>
        <v>1.80446159092404E-3</v>
      </c>
      <c r="F96" s="147">
        <f>STDEV(F$26:F54)</f>
        <v>1.973061072714066E-3</v>
      </c>
      <c r="G96" s="147">
        <f>STDEV(G$26:G54)</f>
        <v>2.3790505252765746E-3</v>
      </c>
      <c r="H96" s="147">
        <f>STDEV(H$26:H54)</f>
        <v>2.1475684601497489E-3</v>
      </c>
      <c r="I96" s="147">
        <f>STDEV(I$26:I54)</f>
        <v>2.0568039500956973E-3</v>
      </c>
      <c r="J96" s="147">
        <f>STDEV(J$26:J54)</f>
        <v>1.8460611039665864E-3</v>
      </c>
      <c r="K96" s="147">
        <f>STDEV(K$26:K54)</f>
        <v>2.403117228278968E-3</v>
      </c>
      <c r="L96" s="147">
        <f>STDEV(L$26:L54)</f>
        <v>1.7852924294671163E-3</v>
      </c>
      <c r="M96" s="147">
        <f>STDEV(M$26:M54)</f>
        <v>2.2037108107289712E-3</v>
      </c>
      <c r="N96" s="310">
        <f>STDEV(N$26:N54)</f>
        <v>1.9369785741910174E-3</v>
      </c>
      <c r="X96" t="s">
        <v>334</v>
      </c>
      <c r="Y96" s="292">
        <v>0.99576865999999997</v>
      </c>
      <c r="Z96">
        <f t="shared" si="56"/>
        <v>5</v>
      </c>
    </row>
    <row r="97" spans="1:26" x14ac:dyDescent="0.25">
      <c r="A97" s="299">
        <v>2031</v>
      </c>
      <c r="B97" s="147">
        <f>STDEV(B$26:B55)</f>
        <v>2.0314145669896744E-3</v>
      </c>
      <c r="C97" s="147">
        <f>STDEV(C$26:C55)</f>
        <v>1.9656955465441502E-3</v>
      </c>
      <c r="D97" s="147">
        <f>STDEV(D$26:D55)</f>
        <v>2.0297104711305696E-3</v>
      </c>
      <c r="E97" s="147">
        <f>STDEV(E$26:E55)</f>
        <v>1.7946258379002214E-3</v>
      </c>
      <c r="F97" s="147">
        <f>STDEV(F$26:F55)</f>
        <v>1.9623063182157056E-3</v>
      </c>
      <c r="G97" s="147">
        <f>STDEV(G$26:G55)</f>
        <v>2.3660828048687322E-3</v>
      </c>
      <c r="H97" s="147">
        <f>STDEV(H$26:H55)</f>
        <v>2.1358625013850902E-3</v>
      </c>
      <c r="I97" s="147">
        <f>STDEV(I$26:I55)</f>
        <v>2.0455927302097804E-3</v>
      </c>
      <c r="J97" s="147">
        <f>STDEV(J$26:J55)</f>
        <v>1.8356112132003918E-3</v>
      </c>
      <c r="K97" s="147">
        <f>STDEV(K$26:K55)</f>
        <v>2.3895140422956116E-3</v>
      </c>
      <c r="L97" s="147">
        <f>STDEV(L$26:L55)</f>
        <v>1.7751865284037212E-3</v>
      </c>
      <c r="M97" s="147">
        <f>STDEV(M$26:M55)</f>
        <v>2.1912363930604892E-3</v>
      </c>
      <c r="N97" s="310">
        <f>STDEV(N$26:N55)</f>
        <v>1.9289939649191998E-3</v>
      </c>
      <c r="X97" t="s">
        <v>335</v>
      </c>
      <c r="Y97" s="292">
        <v>0.99251089999999997</v>
      </c>
      <c r="Z97">
        <f t="shared" si="56"/>
        <v>9</v>
      </c>
    </row>
    <row r="98" spans="1:26" x14ac:dyDescent="0.25">
      <c r="A98" s="299">
        <v>2032</v>
      </c>
      <c r="B98" s="147">
        <f>STDEV(B$26:B56)</f>
        <v>2.0207377344958642E-3</v>
      </c>
      <c r="C98" s="147">
        <f>STDEV(C$26:C56)</f>
        <v>1.9553641240834994E-3</v>
      </c>
      <c r="D98" s="147">
        <f>STDEV(D$26:D56)</f>
        <v>2.0190425951276368E-3</v>
      </c>
      <c r="E98" s="147">
        <f>STDEV(E$26:E56)</f>
        <v>1.7851935340407786E-3</v>
      </c>
      <c r="F98" s="147">
        <f>STDEV(F$26:F56)</f>
        <v>1.9519927090678785E-3</v>
      </c>
      <c r="G98" s="147">
        <f>STDEV(G$26:G56)</f>
        <v>2.3536470026525903E-3</v>
      </c>
      <c r="H98" s="147">
        <f>STDEV(H$26:H56)</f>
        <v>2.1246367050716843E-3</v>
      </c>
      <c r="I98" s="147">
        <f>STDEV(I$26:I56)</f>
        <v>2.0348413792615682E-3</v>
      </c>
      <c r="J98" s="147">
        <f>STDEV(J$26:J56)</f>
        <v>1.8256056699227838E-3</v>
      </c>
      <c r="K98" s="147">
        <f>STDEV(K$26:K56)</f>
        <v>2.3764892873852422E-3</v>
      </c>
      <c r="L98" s="147">
        <f>STDEV(L$26:L56)</f>
        <v>1.7655103477898406E-3</v>
      </c>
      <c r="M98" s="147">
        <f>STDEV(M$26:M56)</f>
        <v>2.1792924092775444E-3</v>
      </c>
      <c r="N98" s="310">
        <f>STDEV(N$26:N56)</f>
        <v>1.921293491669969E-3</v>
      </c>
      <c r="X98" t="s">
        <v>336</v>
      </c>
      <c r="Y98" s="292"/>
      <c r="Z98">
        <f t="shared" si="56"/>
        <v>8</v>
      </c>
    </row>
    <row r="99" spans="1:26" x14ac:dyDescent="0.25">
      <c r="A99" s="299">
        <v>2033</v>
      </c>
      <c r="B99" s="147">
        <f>STDEV(B$26:B57)</f>
        <v>2.0104838886226533E-3</v>
      </c>
      <c r="C99" s="147">
        <f>STDEV(C$26:C57)</f>
        <v>1.9454420040517408E-3</v>
      </c>
      <c r="D99" s="147">
        <f>STDEV(D$26:D57)</f>
        <v>2.0087973509138627E-3</v>
      </c>
      <c r="E99" s="147">
        <f>STDEV(E$26:E57)</f>
        <v>1.7761349120140617E-3</v>
      </c>
      <c r="F99" s="147">
        <f>STDEV(F$26:F57)</f>
        <v>1.9420876966346791E-3</v>
      </c>
      <c r="G99" s="147">
        <f>STDEV(G$26:G57)</f>
        <v>2.341703872580256E-3</v>
      </c>
      <c r="H99" s="147">
        <f>STDEV(H$26:H57)</f>
        <v>2.1138556438095092E-3</v>
      </c>
      <c r="I99" s="147">
        <f>STDEV(I$26:I57)</f>
        <v>2.0245159671493434E-3</v>
      </c>
      <c r="J99" s="147">
        <f>STDEV(J$26:J57)</f>
        <v>1.8160105403740208E-3</v>
      </c>
      <c r="K99" s="147">
        <f>STDEV(K$26:K57)</f>
        <v>2.3639987901440214E-3</v>
      </c>
      <c r="L99" s="147">
        <f>STDEV(L$26:L57)</f>
        <v>1.7562310708978813E-3</v>
      </c>
      <c r="M99" s="147">
        <f>STDEV(M$26:M57)</f>
        <v>2.1678383514072267E-3</v>
      </c>
      <c r="N99" s="310">
        <f>STDEV(N$26:N57)</f>
        <v>1.9138572947940732E-3</v>
      </c>
      <c r="X99" t="s">
        <v>337</v>
      </c>
      <c r="Y99" s="292">
        <v>0.99665340000000002</v>
      </c>
      <c r="Z99">
        <f t="shared" si="56"/>
        <v>4</v>
      </c>
    </row>
    <row r="100" spans="1:26" x14ac:dyDescent="0.25">
      <c r="A100" s="299">
        <v>2034</v>
      </c>
      <c r="B100" s="147">
        <f>STDEV(B$26:B58)</f>
        <v>2.000622843298583E-3</v>
      </c>
      <c r="C100" s="147">
        <f>STDEV(C$26:C58)</f>
        <v>1.9358999769378332E-3</v>
      </c>
      <c r="D100" s="147">
        <f>STDEV(D$26:D58)</f>
        <v>1.9989445777400324E-3</v>
      </c>
      <c r="E100" s="147">
        <f>STDEV(E$26:E58)</f>
        <v>1.767423304341816E-3</v>
      </c>
      <c r="F100" s="147">
        <f>STDEV(F$26:F58)</f>
        <v>1.9325621217677483E-3</v>
      </c>
      <c r="G100" s="147">
        <f>STDEV(G$26:G58)</f>
        <v>2.3302182555336596E-3</v>
      </c>
      <c r="H100" s="147">
        <f>STDEV(H$26:H58)</f>
        <v>2.1034875794693152E-3</v>
      </c>
      <c r="I100" s="147">
        <f>STDEV(I$26:I58)</f>
        <v>2.0145860971193738E-3</v>
      </c>
      <c r="J100" s="147">
        <f>STDEV(J$26:J58)</f>
        <v>1.8067955433621666E-3</v>
      </c>
      <c r="K100" s="147">
        <f>STDEV(K$26:K58)</f>
        <v>2.352003131912471E-3</v>
      </c>
      <c r="L100" s="147">
        <f>STDEV(L$26:L58)</f>
        <v>1.747319413332758E-3</v>
      </c>
      <c r="M100" s="147">
        <f>STDEV(M$26:M58)</f>
        <v>2.1568380716807077E-3</v>
      </c>
      <c r="N100" s="310">
        <f>STDEV(N$26:N58)</f>
        <v>1.9066675863894404E-3</v>
      </c>
      <c r="X100" t="s">
        <v>338</v>
      </c>
      <c r="Y100" s="293">
        <v>0.99893264999999998</v>
      </c>
      <c r="Z100">
        <f t="shared" si="56"/>
        <v>2</v>
      </c>
    </row>
    <row r="101" spans="1:26" x14ac:dyDescent="0.25">
      <c r="A101" s="299">
        <v>2035</v>
      </c>
      <c r="B101" s="147">
        <f>STDEV(B$26:B59)</f>
        <v>1.9911274567828096E-3</v>
      </c>
      <c r="C101" s="147">
        <f>STDEV(C$26:C59)</f>
        <v>1.9267117790731107E-3</v>
      </c>
      <c r="D101" s="147">
        <f>STDEV(D$26:D59)</f>
        <v>1.9894571566337282E-3</v>
      </c>
      <c r="E101" s="147">
        <f>STDEV(E$26:E59)</f>
        <v>1.7590347330186668E-3</v>
      </c>
      <c r="F101" s="147">
        <f>STDEV(F$26:F59)</f>
        <v>1.923389766081917E-3</v>
      </c>
      <c r="G101" s="147">
        <f>STDEV(G$26:G59)</f>
        <v>2.3191585382678452E-3</v>
      </c>
      <c r="H101" s="147">
        <f>STDEV(H$26:H59)</f>
        <v>2.0935039747808494E-3</v>
      </c>
      <c r="I101" s="147">
        <f>STDEV(I$26:I59)</f>
        <v>2.0050244379962953E-3</v>
      </c>
      <c r="J101" s="147">
        <f>STDEV(J$26:J59)</f>
        <v>1.7979335510600904E-3</v>
      </c>
      <c r="K101" s="147">
        <f>STDEV(K$26:K59)</f>
        <v>2.3404669989360231E-3</v>
      </c>
      <c r="L101" s="147">
        <f>STDEV(L$26:L59)</f>
        <v>1.7387491402616688E-3</v>
      </c>
      <c r="M101" s="147">
        <f>STDEV(M$26:M59)</f>
        <v>2.1462591866163207E-3</v>
      </c>
      <c r="N101" s="310">
        <f>STDEV(N$26:N59)</f>
        <v>1.899708366344608E-3</v>
      </c>
      <c r="X101" t="s">
        <v>339</v>
      </c>
      <c r="Y101" s="292">
        <v>0.99686646000000001</v>
      </c>
      <c r="Z101">
        <f t="shared" si="56"/>
        <v>4</v>
      </c>
    </row>
    <row r="102" spans="1:26" x14ac:dyDescent="0.25">
      <c r="A102" s="299">
        <v>2036</v>
      </c>
      <c r="B102" s="147">
        <f>STDEV(B$26:B60)</f>
        <v>1.9819732408955146E-3</v>
      </c>
      <c r="C102" s="147">
        <f>STDEV(C$26:C60)</f>
        <v>1.9178537145036363E-3</v>
      </c>
      <c r="D102" s="147">
        <f>STDEV(D$26:D60)</f>
        <v>1.9803106199575778E-3</v>
      </c>
      <c r="E102" s="147">
        <f>STDEV(E$26:E60)</f>
        <v>1.7509475642919976E-3</v>
      </c>
      <c r="F102" s="147">
        <f>STDEV(F$26:F60)</f>
        <v>1.9145469744795294E-3</v>
      </c>
      <c r="G102" s="147">
        <f>STDEV(G$26:G60)</f>
        <v>2.3084961982635186E-3</v>
      </c>
      <c r="H102" s="147">
        <f>STDEV(H$26:H60)</f>
        <v>2.083879082471333E-3</v>
      </c>
      <c r="I102" s="147">
        <f>STDEV(I$26:I60)</f>
        <v>1.9958063306861917E-3</v>
      </c>
      <c r="J102" s="147">
        <f>STDEV(J$26:J60)</f>
        <v>1.7894001715407146E-3</v>
      </c>
      <c r="K102" s="147">
        <f>STDEV(K$26:K60)</f>
        <v>2.3293586389286536E-3</v>
      </c>
      <c r="L102" s="147">
        <f>STDEV(L$26:L60)</f>
        <v>1.7304966626914596E-3</v>
      </c>
      <c r="M102" s="147">
        <f>STDEV(M$26:M60)</f>
        <v>2.1360725786765795E-3</v>
      </c>
      <c r="N102" s="310">
        <f>STDEV(N$26:N60)</f>
        <v>1.8929651858899902E-3</v>
      </c>
      <c r="X102" t="s">
        <v>340</v>
      </c>
      <c r="Y102" s="293">
        <v>0.99880159999999996</v>
      </c>
      <c r="Z102">
        <f t="shared" si="56"/>
        <v>2</v>
      </c>
    </row>
    <row r="103" spans="1:26" x14ac:dyDescent="0.25">
      <c r="A103" s="299">
        <v>2037</v>
      </c>
      <c r="B103" s="147">
        <f>STDEV(B$26:B61)</f>
        <v>1.9731380304703894E-3</v>
      </c>
      <c r="C103" s="147">
        <f>STDEV(C$26:C61)</f>
        <v>1.9093043351363353E-3</v>
      </c>
      <c r="D103" s="147">
        <f>STDEV(D$26:D61)</f>
        <v>1.971482821138992E-3</v>
      </c>
      <c r="E103" s="147">
        <f>STDEV(E$26:E61)</f>
        <v>1.7431422166441662E-3</v>
      </c>
      <c r="F103" s="147">
        <f>STDEV(F$26:F61)</f>
        <v>1.9060123358480485E-3</v>
      </c>
      <c r="G103" s="147">
        <f>STDEV(G$26:G61)</f>
        <v>2.2982054187229957E-3</v>
      </c>
      <c r="H103" s="147">
        <f>STDEV(H$26:H61)</f>
        <v>2.0745895977223616E-3</v>
      </c>
      <c r="I103" s="147">
        <f>STDEV(I$26:I61)</f>
        <v>1.9869094553219965E-3</v>
      </c>
      <c r="J103" s="147">
        <f>STDEV(J$26:J61)</f>
        <v>1.7811733975975181E-3</v>
      </c>
      <c r="K103" s="147">
        <f>STDEV(K$26:K61)</f>
        <v>2.3186494039236019E-3</v>
      </c>
      <c r="L103" s="147">
        <f>STDEV(L$26:L61)</f>
        <v>1.7225406978492465E-3</v>
      </c>
      <c r="M103" s="147">
        <f>STDEV(M$26:M61)</f>
        <v>2.1262519770523414E-3</v>
      </c>
      <c r="N103" s="310">
        <f>STDEV(N$26:N61)</f>
        <v>1.8864249493956761E-3</v>
      </c>
      <c r="X103" t="s">
        <v>341</v>
      </c>
      <c r="Y103" s="292">
        <v>0.99746573999999999</v>
      </c>
      <c r="Z103">
        <f t="shared" si="56"/>
        <v>3</v>
      </c>
    </row>
    <row r="104" spans="1:26" x14ac:dyDescent="0.25">
      <c r="A104" s="299">
        <v>2038</v>
      </c>
      <c r="B104" s="147">
        <f>STDEV(B$26:B62)</f>
        <v>1.9646017022919874E-3</v>
      </c>
      <c r="C104" s="147">
        <f>STDEV(C$26:C62)</f>
        <v>1.9010441687691191E-3</v>
      </c>
      <c r="D104" s="147">
        <f>STDEV(D$26:D62)</f>
        <v>1.9629536538433223E-3</v>
      </c>
      <c r="E104" s="147">
        <f>STDEV(E$26:E62)</f>
        <v>1.7356009124915328E-3</v>
      </c>
      <c r="F104" s="147">
        <f>STDEV(F$26:F62)</f>
        <v>1.897766411559114E-3</v>
      </c>
      <c r="G104" s="147">
        <f>STDEV(G$26:G62)</f>
        <v>2.2882627612035274E-3</v>
      </c>
      <c r="H104" s="147">
        <f>STDEV(H$26:H62)</f>
        <v>2.0656143626560934E-3</v>
      </c>
      <c r="I104" s="147">
        <f>STDEV(I$26:I62)</f>
        <v>1.9783135482392272E-3</v>
      </c>
      <c r="J104" s="147">
        <f>STDEV(J$26:J62)</f>
        <v>1.7732333096857856E-3</v>
      </c>
      <c r="K104" s="147">
        <f>STDEV(K$26:K62)</f>
        <v>2.3083133635759959E-3</v>
      </c>
      <c r="L104" s="147">
        <f>STDEV(L$26:L62)</f>
        <v>1.7148619819022681E-3</v>
      </c>
      <c r="M104" s="147">
        <f>STDEV(M$26:M62)</f>
        <v>2.1167736030528904E-3</v>
      </c>
      <c r="N104" s="310">
        <f>STDEV(N$26:N62)</f>
        <v>1.8800757471938135E-3</v>
      </c>
      <c r="X104" t="s">
        <v>342</v>
      </c>
      <c r="Y104" s="292">
        <v>0.99743910000000002</v>
      </c>
      <c r="Z104">
        <f t="shared" si="56"/>
        <v>3</v>
      </c>
    </row>
    <row r="105" spans="1:26" x14ac:dyDescent="0.25">
      <c r="A105" s="299">
        <v>2039</v>
      </c>
      <c r="B105" s="147">
        <f>STDEV(B$26:B63)</f>
        <v>1.9563459349397181E-3</v>
      </c>
      <c r="C105" s="147">
        <f>STDEV(C$26:C63)</f>
        <v>1.8930554867042256E-3</v>
      </c>
      <c r="D105" s="147">
        <f>STDEV(D$26:D63)</f>
        <v>1.954704812019291E-3</v>
      </c>
      <c r="E105" s="147">
        <f>STDEV(E$26:E63)</f>
        <v>1.7283074660218458E-3</v>
      </c>
      <c r="F105" s="147">
        <f>STDEV(F$26:F63)</f>
        <v>1.8897915034825803E-3</v>
      </c>
      <c r="G105" s="147">
        <f>STDEV(G$26:G63)</f>
        <v>2.2786468858964214E-3</v>
      </c>
      <c r="H105" s="147">
        <f>STDEV(H$26:H63)</f>
        <v>2.0569341138312446E-3</v>
      </c>
      <c r="I105" s="147">
        <f>STDEV(I$26:I63)</f>
        <v>1.9700001601437866E-3</v>
      </c>
      <c r="J105" s="147">
        <f>STDEV(J$26:J63)</f>
        <v>1.7655618233353104E-3</v>
      </c>
      <c r="K105" s="147">
        <f>STDEV(K$26:K63)</f>
        <v>2.2983269763563511E-3</v>
      </c>
      <c r="L105" s="147">
        <f>STDEV(L$26:L63)</f>
        <v>1.7074430256852531E-3</v>
      </c>
      <c r="M105" s="147">
        <f>STDEV(M$26:M63)</f>
        <v>2.1076158685832229E-3</v>
      </c>
      <c r="N105" s="310">
        <f>STDEV(N$26:N63)</f>
        <v>1.8739067137464773E-3</v>
      </c>
      <c r="X105" t="s">
        <v>343</v>
      </c>
      <c r="Y105" s="292">
        <v>0.99646310000000005</v>
      </c>
      <c r="Z105">
        <f t="shared" si="56"/>
        <v>4</v>
      </c>
    </row>
    <row r="106" spans="1:26" x14ac:dyDescent="0.25">
      <c r="A106" s="299">
        <v>2040</v>
      </c>
      <c r="B106" s="147">
        <f>STDEV(B$26:B64)</f>
        <v>1.9483540026384082E-3</v>
      </c>
      <c r="C106" s="147">
        <f>STDEV(C$26:C64)</f>
        <v>1.8853221042680393E-3</v>
      </c>
      <c r="D106" s="147">
        <f>STDEV(D$26:D64)</f>
        <v>1.9467195839225067E-3</v>
      </c>
      <c r="E106" s="147">
        <f>STDEV(E$26:E64)</f>
        <v>1.7212471010743119E-3</v>
      </c>
      <c r="F106" s="147">
        <f>STDEV(F$26:F64)</f>
        <v>1.8820714548502388E-3</v>
      </c>
      <c r="G106" s="147">
        <f>STDEV(G$26:G64)</f>
        <v>2.2693383115152538E-3</v>
      </c>
      <c r="H106" s="147">
        <f>STDEV(H$26:H64)</f>
        <v>2.0485312654942413E-3</v>
      </c>
      <c r="I106" s="147">
        <f>STDEV(I$26:I64)</f>
        <v>1.9619524485237423E-3</v>
      </c>
      <c r="J106" s="147">
        <f>STDEV(J$26:J64)</f>
        <v>1.7581424733253269E-3</v>
      </c>
      <c r="K106" s="147">
        <f>STDEV(K$26:K64)</f>
        <v>2.2886688085994337E-3</v>
      </c>
      <c r="L106" s="147">
        <f>STDEV(L$26:L64)</f>
        <v>1.7002679059798813E-3</v>
      </c>
      <c r="M106" s="147">
        <f>STDEV(M$26:M64)</f>
        <v>2.0987591185057438E-3</v>
      </c>
      <c r="N106" s="310">
        <f>STDEV(N$26:N64)</f>
        <v>1.8679079066579267E-3</v>
      </c>
      <c r="X106" t="s">
        <v>344</v>
      </c>
      <c r="Y106" s="292">
        <v>0.99444630000000001</v>
      </c>
      <c r="Z106">
        <f t="shared" si="56"/>
        <v>6</v>
      </c>
    </row>
    <row r="107" spans="1:26" x14ac:dyDescent="0.25">
      <c r="A107" s="299">
        <v>2041</v>
      </c>
      <c r="B107" s="147">
        <f>STDEV(B$26:B65)</f>
        <v>1.9406105975301703E-3</v>
      </c>
      <c r="C107" s="147">
        <f>STDEV(C$26:C65)</f>
        <v>1.8778292088326594E-3</v>
      </c>
      <c r="D107" s="147">
        <f>STDEV(D$26:D65)</f>
        <v>1.9389826745364043E-3</v>
      </c>
      <c r="E107" s="147">
        <f>STDEV(E$26:E65)</f>
        <v>1.7144062941280617E-3</v>
      </c>
      <c r="F107" s="147">
        <f>STDEV(F$26:F65)</f>
        <v>1.8745914785739456E-3</v>
      </c>
      <c r="G107" s="147">
        <f>STDEV(G$26:G65)</f>
        <v>2.2603192082876486E-3</v>
      </c>
      <c r="H107" s="147">
        <f>STDEV(H$26:H65)</f>
        <v>2.0403897227129248E-3</v>
      </c>
      <c r="I107" s="147">
        <f>STDEV(I$26:I65)</f>
        <v>1.9541549986807206E-3</v>
      </c>
      <c r="J107" s="147">
        <f>STDEV(J$26:J65)</f>
        <v>1.7509602284207122E-3</v>
      </c>
      <c r="K107" s="147">
        <f>STDEV(K$26:K65)</f>
        <v>2.2793192933364187E-3</v>
      </c>
      <c r="L107" s="147">
        <f>STDEV(L$26:L65)</f>
        <v>1.693322086349519E-3</v>
      </c>
      <c r="M107" s="147">
        <f>STDEV(M$26:M65)</f>
        <v>2.0901854094840947E-3</v>
      </c>
      <c r="N107" s="310">
        <f>STDEV(N$26:N65)</f>
        <v>1.8620702029374528E-3</v>
      </c>
      <c r="X107" t="s">
        <v>345</v>
      </c>
      <c r="Y107" s="292">
        <v>0.99073290000000003</v>
      </c>
      <c r="Z107">
        <f t="shared" si="56"/>
        <v>8</v>
      </c>
    </row>
    <row r="108" spans="1:26" x14ac:dyDescent="0.25">
      <c r="A108" s="299">
        <v>2042</v>
      </c>
      <c r="B108" s="147">
        <f>STDEV(B$26:B66)</f>
        <v>1.9331016758190977E-3</v>
      </c>
      <c r="C108" s="147">
        <f>STDEV(C$26:C66)</f>
        <v>1.8705632109380552E-3</v>
      </c>
      <c r="D108" s="147">
        <f>STDEV(D$26:D66)</f>
        <v>1.9314800518460192E-3</v>
      </c>
      <c r="E108" s="147">
        <f>STDEV(E$26:E66)</f>
        <v>1.7077726383807584E-3</v>
      </c>
      <c r="F108" s="147">
        <f>STDEV(F$26:F66)</f>
        <v>1.8673380086244515E-3</v>
      </c>
      <c r="G108" s="147">
        <f>STDEV(G$26:G66)</f>
        <v>2.2515732187528719E-3</v>
      </c>
      <c r="H108" s="147">
        <f>STDEV(H$26:H66)</f>
        <v>2.0324947196105774E-3</v>
      </c>
      <c r="I108" s="147">
        <f>STDEV(I$26:I66)</f>
        <v>1.9465936688007966E-3</v>
      </c>
      <c r="J108" s="147">
        <f>STDEV(J$26:J66)</f>
        <v>1.7440013316500408E-3</v>
      </c>
      <c r="K108" s="147">
        <f>STDEV(K$26:K66)</f>
        <v>2.270260522376194E-3</v>
      </c>
      <c r="L108" s="147">
        <f>STDEV(L$26:L66)</f>
        <v>1.6865922626749799E-3</v>
      </c>
      <c r="M108" s="147">
        <f>STDEV(M$26:M66)</f>
        <v>2.0818783193171878E-3</v>
      </c>
      <c r="N108" s="310">
        <f>STDEV(N$26:N66)</f>
        <v>1.8563852096232366E-3</v>
      </c>
      <c r="X108" t="s">
        <v>346</v>
      </c>
      <c r="Y108" s="292">
        <v>0.99576865999999997</v>
      </c>
      <c r="Z108">
        <f t="shared" si="56"/>
        <v>5</v>
      </c>
    </row>
    <row r="109" spans="1:26" x14ac:dyDescent="0.25">
      <c r="A109" s="299">
        <v>2043</v>
      </c>
      <c r="B109" s="147">
        <f>STDEV(B$26:B67)</f>
        <v>1.9258143240638611E-3</v>
      </c>
      <c r="C109" s="147">
        <f>STDEV(C$26:C67)</f>
        <v>1.8635116149102685E-3</v>
      </c>
      <c r="D109" s="147">
        <f>STDEV(D$26:D67)</f>
        <v>1.9241988132427438E-3</v>
      </c>
      <c r="E109" s="147">
        <f>STDEV(E$26:E67)</f>
        <v>1.7013347256265956E-3</v>
      </c>
      <c r="F109" s="147">
        <f>STDEV(F$26:F67)</f>
        <v>1.8602985708726875E-3</v>
      </c>
      <c r="G109" s="147">
        <f>STDEV(G$26:G67)</f>
        <v>2.2430853020266252E-3</v>
      </c>
      <c r="H109" s="147">
        <f>STDEV(H$26:H67)</f>
        <v>2.0248326787837799E-3</v>
      </c>
      <c r="I109" s="147">
        <f>STDEV(I$26:I67)</f>
        <v>1.9392554553138862E-3</v>
      </c>
      <c r="J109" s="147">
        <f>STDEV(J$26:J67)</f>
        <v>1.7372531620378337E-3</v>
      </c>
      <c r="K109" s="147">
        <f>STDEV(K$26:K67)</f>
        <v>2.261476066314801E-3</v>
      </c>
      <c r="L109" s="147">
        <f>STDEV(L$26:L67)</f>
        <v>1.6800662294383013E-3</v>
      </c>
      <c r="M109" s="147">
        <f>STDEV(M$26:M67)</f>
        <v>2.0738227818839525E-3</v>
      </c>
      <c r="N109" s="310">
        <f>STDEV(N$26:N67)</f>
        <v>1.8508451864284634E-3</v>
      </c>
      <c r="X109" t="s">
        <v>347</v>
      </c>
      <c r="Y109" s="292">
        <v>0.99251089999999997</v>
      </c>
      <c r="Z109">
        <f t="shared" si="56"/>
        <v>9</v>
      </c>
    </row>
    <row r="110" spans="1:26" x14ac:dyDescent="0.25">
      <c r="A110" s="299">
        <v>2044</v>
      </c>
      <c r="B110" s="147">
        <f>STDEV(B$26:B68)</f>
        <v>1.9187366425511296E-3</v>
      </c>
      <c r="C110" s="147">
        <f>STDEV(C$26:C68)</f>
        <v>1.8566629060078538E-3</v>
      </c>
      <c r="D110" s="147">
        <f>STDEV(D$26:D68)</f>
        <v>1.9171270689955766E-3</v>
      </c>
      <c r="E110" s="147">
        <f>STDEV(E$26:E68)</f>
        <v>1.6950820432241054E-3</v>
      </c>
      <c r="F110" s="147">
        <f>STDEV(F$26:F68)</f>
        <v>1.8534616704307845E-3</v>
      </c>
      <c r="G110" s="147">
        <f>STDEV(G$26:G68)</f>
        <v>2.2348415979606307E-3</v>
      </c>
      <c r="H110" s="147">
        <f>STDEV(H$26:H68)</f>
        <v>2.0173910886793047E-3</v>
      </c>
      <c r="I110" s="147">
        <f>STDEV(I$26:I68)</f>
        <v>1.9321283754531586E-3</v>
      </c>
      <c r="J110" s="147">
        <f>STDEV(J$26:J68)</f>
        <v>1.7307041144434747E-3</v>
      </c>
      <c r="K110" s="147">
        <f>STDEV(K$26:K68)</f>
        <v>2.2529508181152666E-3</v>
      </c>
      <c r="L110" s="147">
        <f>STDEV(L$26:L68)</f>
        <v>1.6737327635171061E-3</v>
      </c>
      <c r="M110" s="147">
        <f>STDEV(M$26:M68)</f>
        <v>2.0660049437026245E-3</v>
      </c>
      <c r="N110" s="310">
        <f>STDEV(N$26:N68)</f>
        <v>1.8454429785051056E-3</v>
      </c>
      <c r="X110" t="s">
        <v>348</v>
      </c>
      <c r="Y110" s="292"/>
      <c r="Z110">
        <f t="shared" si="56"/>
        <v>8</v>
      </c>
    </row>
    <row r="111" spans="1:26" x14ac:dyDescent="0.25">
      <c r="A111" s="299">
        <v>2045</v>
      </c>
      <c r="B111" s="147">
        <f>STDEV(B$26:B69)</f>
        <v>1.9118576432115932E-3</v>
      </c>
      <c r="C111" s="147">
        <f>STDEV(C$26:C69)</f>
        <v>1.8500064516404724E-3</v>
      </c>
      <c r="D111" s="147">
        <f>STDEV(D$26:D69)</f>
        <v>1.9102538402527877E-3</v>
      </c>
      <c r="E111" s="147">
        <f>STDEV(E$26:E69)</f>
        <v>1.6890048839114588E-3</v>
      </c>
      <c r="F111" s="147">
        <f>STDEV(F$26:F69)</f>
        <v>1.8468166930409821E-3</v>
      </c>
      <c r="G111" s="147">
        <f>STDEV(G$26:G69)</f>
        <v>2.2268293082407164E-3</v>
      </c>
      <c r="H111" s="147">
        <f>STDEV(H$26:H69)</f>
        <v>2.0101583962613607E-3</v>
      </c>
      <c r="I111" s="147">
        <f>STDEV(I$26:I69)</f>
        <v>1.9252013644585897E-3</v>
      </c>
      <c r="J111" s="147">
        <f>STDEV(J$26:J69)</f>
        <v>1.7243434947504179E-3</v>
      </c>
      <c r="K111" s="147">
        <f>STDEV(K$26:K69)</f>
        <v>2.2446708566697497E-3</v>
      </c>
      <c r="L111" s="147">
        <f>STDEV(L$26:L69)</f>
        <v>1.667581522823976E-3</v>
      </c>
      <c r="M111" s="147">
        <f>STDEV(M$26:M69)</f>
        <v>2.0584120388142651E-3</v>
      </c>
      <c r="N111" s="310">
        <f>STDEV(N$26:N69)</f>
        <v>1.8401719577649353E-3</v>
      </c>
      <c r="X111" t="s">
        <v>349</v>
      </c>
      <c r="Y111" s="292">
        <v>0.99665340000000002</v>
      </c>
      <c r="Z111">
        <f t="shared" si="56"/>
        <v>4</v>
      </c>
    </row>
    <row r="112" spans="1:26" x14ac:dyDescent="0.25">
      <c r="A112" s="299">
        <v>2046</v>
      </c>
      <c r="B112" s="147">
        <f>STDEV(B$26:B70)</f>
        <v>1.9051671599679132E-3</v>
      </c>
      <c r="C112" s="147">
        <f>STDEV(C$26:C70)</f>
        <v>1.8435324146171888E-3</v>
      </c>
      <c r="D112" s="147">
        <f>STDEV(D$26:D70)</f>
        <v>1.9035689694650655E-3</v>
      </c>
      <c r="E112" s="147">
        <f>STDEV(E$26:E70)</f>
        <v>1.6830942666045527E-3</v>
      </c>
      <c r="F112" s="147">
        <f>STDEV(F$26:F70)</f>
        <v>1.8403538184735132E-3</v>
      </c>
      <c r="G112" s="147">
        <f>STDEV(G$26:G70)</f>
        <v>2.2190365919648896E-3</v>
      </c>
      <c r="H112" s="147">
        <f>STDEV(H$26:H70)</f>
        <v>2.0031239127499523E-3</v>
      </c>
      <c r="I112" s="147">
        <f>STDEV(I$26:I70)</f>
        <v>1.9184641852991724E-3</v>
      </c>
      <c r="J112" s="147">
        <f>STDEV(J$26:J70)</f>
        <v>1.7181614281246659E-3</v>
      </c>
      <c r="K112" s="147">
        <f>STDEV(K$26:K70)</f>
        <v>2.2366233273746522E-3</v>
      </c>
      <c r="L112" s="147">
        <f>STDEV(L$26:L70)</f>
        <v>1.6616029575848884E-3</v>
      </c>
      <c r="M112" s="147">
        <f>STDEV(M$26:M70)</f>
        <v>2.0510322792675539E-3</v>
      </c>
      <c r="N112" s="310">
        <f>STDEV(N$26:N70)</f>
        <v>1.8350259714722931E-3</v>
      </c>
      <c r="X112" t="s">
        <v>350</v>
      </c>
      <c r="Y112" s="293">
        <v>0.99893264999999998</v>
      </c>
      <c r="Z112">
        <f t="shared" si="56"/>
        <v>2</v>
      </c>
    </row>
    <row r="113" spans="1:26" x14ac:dyDescent="0.25">
      <c r="A113" s="299">
        <v>2047</v>
      </c>
      <c r="B113" s="147">
        <f>STDEV(B$26:B71)</f>
        <v>1.8986557697512772E-3</v>
      </c>
      <c r="C113" s="147">
        <f>STDEV(C$26:C71)</f>
        <v>1.8372316767182656E-3</v>
      </c>
      <c r="D113" s="147">
        <f>STDEV(D$26:D71)</f>
        <v>1.8970630414683429E-3</v>
      </c>
      <c r="E113" s="147">
        <f>STDEV(E$26:E71)</f>
        <v>1.6773418666201684E-3</v>
      </c>
      <c r="F113" s="147">
        <f>STDEV(F$26:F71)</f>
        <v>1.8340639442301649E-3</v>
      </c>
      <c r="G113" s="147">
        <f>STDEV(G$26:G71)</f>
        <v>2.2114524736476702E-3</v>
      </c>
      <c r="H113" s="147">
        <f>STDEV(H$26:H71)</f>
        <v>1.9962777305764061E-3</v>
      </c>
      <c r="I113" s="147">
        <f>STDEV(I$26:I71)</f>
        <v>1.9119073491382283E-3</v>
      </c>
      <c r="J113" s="147">
        <f>STDEV(J$26:J71)</f>
        <v>1.7121487784456295E-3</v>
      </c>
      <c r="K113" s="147">
        <f>STDEV(K$26:K71)</f>
        <v>2.2287963372494396E-3</v>
      </c>
      <c r="L113" s="147">
        <f>STDEV(L$26:L71)</f>
        <v>1.6557882324222497E-3</v>
      </c>
      <c r="M113" s="147">
        <f>STDEV(M$26:M71)</f>
        <v>2.0438547589404481E-3</v>
      </c>
      <c r="N113" s="310">
        <f>STDEV(N$26:N71)</f>
        <v>1.8299992970439297E-3</v>
      </c>
      <c r="X113" t="s">
        <v>351</v>
      </c>
      <c r="Y113" s="292">
        <v>0.99665340000000002</v>
      </c>
      <c r="Z113">
        <f t="shared" si="56"/>
        <v>4</v>
      </c>
    </row>
    <row r="114" spans="1:26" x14ac:dyDescent="0.25">
      <c r="A114" s="299">
        <v>2048</v>
      </c>
      <c r="B114" s="147">
        <f>STDEV(B$26:B72)</f>
        <v>1.8923147227071109E-3</v>
      </c>
      <c r="C114" s="147">
        <f>STDEV(C$26:C72)</f>
        <v>1.8310957711588139E-3</v>
      </c>
      <c r="D114" s="147">
        <f>STDEV(D$26:D72)</f>
        <v>1.8907273137480534E-3</v>
      </c>
      <c r="E114" s="147">
        <f>STDEV(E$26:E72)</f>
        <v>1.6717399540171344E-3</v>
      </c>
      <c r="F114" s="147">
        <f>STDEV(F$26:F72)</f>
        <v>1.8279386181243725E-3</v>
      </c>
      <c r="G114" s="147">
        <f>STDEV(G$26:G72)</f>
        <v>2.2040667619274384E-3</v>
      </c>
      <c r="H114" s="147">
        <f>STDEV(H$26:H72)</f>
        <v>1.9896106500005158E-3</v>
      </c>
      <c r="I114" s="147">
        <f>STDEV(I$26:I72)</f>
        <v>1.9055220450519825E-3</v>
      </c>
      <c r="J114" s="147">
        <f>STDEV(J$26:J72)</f>
        <v>1.7062970773247712E-3</v>
      </c>
      <c r="K114" s="147">
        <f>STDEV(K$26:K72)</f>
        <v>2.2211788625363608E-3</v>
      </c>
      <c r="L114" s="147">
        <f>STDEV(L$26:L72)</f>
        <v>1.6501291577100887E-3</v>
      </c>
      <c r="M114" s="147">
        <f>STDEV(M$26:M72)</f>
        <v>2.0368693688071161E-3</v>
      </c>
      <c r="N114" s="310">
        <f>STDEV(N$26:N72)</f>
        <v>1.8250866021697031E-3</v>
      </c>
      <c r="X114" t="s">
        <v>352</v>
      </c>
      <c r="Y114" s="293">
        <v>0.99901470000000003</v>
      </c>
      <c r="Z114">
        <f t="shared" si="56"/>
        <v>1</v>
      </c>
    </row>
    <row r="115" spans="1:26" x14ac:dyDescent="0.25">
      <c r="A115" s="299">
        <v>2049</v>
      </c>
      <c r="B115" s="147">
        <f>STDEV(B$26:B73)</f>
        <v>1.886135880343375E-3</v>
      </c>
      <c r="C115" s="147">
        <f>STDEV(C$26:C73)</f>
        <v>1.8251168227380601E-3</v>
      </c>
      <c r="D115" s="147">
        <f>STDEV(D$26:D73)</f>
        <v>1.8845536546393043E-3</v>
      </c>
      <c r="E115" s="147">
        <f>STDEV(E$26:E73)</f>
        <v>1.6662813389542723E-3</v>
      </c>
      <c r="F115" s="147">
        <f>STDEV(F$26:F73)</f>
        <v>1.8219699785336904E-3</v>
      </c>
      <c r="G115" s="147">
        <f>STDEV(G$26:G73)</f>
        <v>2.1968699775248854E-3</v>
      </c>
      <c r="H115" s="147">
        <f>STDEV(H$26:H73)</f>
        <v>1.9831141140786352E-3</v>
      </c>
      <c r="I115" s="147">
        <f>STDEV(I$26:I73)</f>
        <v>1.8993000777461678E-3</v>
      </c>
      <c r="J115" s="147">
        <f>STDEV(J$26:J73)</f>
        <v>1.7005984613823609E-3</v>
      </c>
      <c r="K115" s="147">
        <f>STDEV(K$26:K73)</f>
        <v>2.2137606670502461E-3</v>
      </c>
      <c r="L115" s="147">
        <f>STDEV(L$26:L73)</f>
        <v>1.6446181289155647E-3</v>
      </c>
      <c r="M115" s="147">
        <f>STDEV(M$26:M73)</f>
        <v>2.0300667220629325E-3</v>
      </c>
      <c r="N115" s="310">
        <f>STDEV(N$26:N73)</f>
        <v>1.8202829095128291E-3</v>
      </c>
      <c r="X115" t="s">
        <v>353</v>
      </c>
      <c r="Y115" s="292">
        <v>0.99746573999999999</v>
      </c>
      <c r="Z115">
        <f t="shared" si="56"/>
        <v>3</v>
      </c>
    </row>
    <row r="116" spans="1:26" ht="15.75" thickBot="1" x14ac:dyDescent="0.3">
      <c r="A116" s="309">
        <v>2050</v>
      </c>
      <c r="B116" s="311">
        <f>STDEV(B$26:B74)</f>
        <v>1.880111660566981E-3</v>
      </c>
      <c r="C116" s="311">
        <f>STDEV(C$26:C74)</f>
        <v>1.8192874946539302E-3</v>
      </c>
      <c r="D116" s="311">
        <f>STDEV(D$26:D74)</f>
        <v>1.8785344884094059E-3</v>
      </c>
      <c r="E116" s="311">
        <f>STDEV(E$26:E74)</f>
        <v>1.6609593231335729E-3</v>
      </c>
      <c r="F116" s="311">
        <f>STDEV(F$26:F74)</f>
        <v>1.8161507013060669E-3</v>
      </c>
      <c r="G116" s="311">
        <f>STDEV(G$26:G74)</f>
        <v>2.1898532892243756E-3</v>
      </c>
      <c r="H116" s="311">
        <f>STDEV(H$26:H74)</f>
        <v>1.9767801508740802E-3</v>
      </c>
      <c r="I116" s="311">
        <f>STDEV(I$26:I74)</f>
        <v>1.893233812208828E-3</v>
      </c>
      <c r="J116" s="311">
        <f>STDEV(J$26:J74)</f>
        <v>1.6950456166621801E-3</v>
      </c>
      <c r="K116" s="311">
        <f>STDEV(K$26:K74)</f>
        <v>2.2065322298201089E-3</v>
      </c>
      <c r="L116" s="311">
        <f>STDEV(L$26:L74)</f>
        <v>1.6392480728434011E-3</v>
      </c>
      <c r="M116" s="311">
        <f>STDEV(M$26:M74)</f>
        <v>2.023438087770244E-3</v>
      </c>
      <c r="N116" s="312">
        <f>STDEV(N$26:N74)</f>
        <v>1.815583565366852E-3</v>
      </c>
      <c r="X116" t="s">
        <v>354</v>
      </c>
      <c r="Y116" s="292">
        <v>0.996699</v>
      </c>
      <c r="Z116">
        <f t="shared" si="56"/>
        <v>4</v>
      </c>
    </row>
    <row r="117" spans="1:26" ht="15.75" thickBot="1" x14ac:dyDescent="0.3">
      <c r="A117" s="7"/>
      <c r="B117" s="330"/>
      <c r="C117" s="330"/>
      <c r="D117" s="330"/>
      <c r="E117" s="330"/>
      <c r="F117" s="330"/>
      <c r="G117" s="330"/>
      <c r="H117" s="330"/>
      <c r="I117" s="330"/>
      <c r="J117" s="330"/>
      <c r="K117" s="330"/>
      <c r="L117" s="330"/>
      <c r="M117" s="330"/>
      <c r="N117" s="331"/>
      <c r="X117" t="s">
        <v>355</v>
      </c>
      <c r="Y117" s="292">
        <v>0.99720319999999996</v>
      </c>
      <c r="Z117">
        <f t="shared" si="56"/>
        <v>3</v>
      </c>
    </row>
    <row r="118" spans="1:26" ht="21.75" thickBot="1" x14ac:dyDescent="0.3">
      <c r="A118" s="449" t="s">
        <v>228</v>
      </c>
      <c r="B118" s="450"/>
      <c r="C118" s="450"/>
      <c r="D118" s="450"/>
      <c r="E118" s="450"/>
      <c r="F118" s="450"/>
      <c r="G118" s="450"/>
      <c r="H118" s="450"/>
      <c r="I118" s="450"/>
      <c r="J118" s="450"/>
      <c r="K118" s="450"/>
      <c r="L118" s="450"/>
      <c r="M118" s="450"/>
      <c r="N118" s="451"/>
      <c r="X118" t="s">
        <v>356</v>
      </c>
      <c r="Y118" s="292">
        <v>0.99329529999999999</v>
      </c>
      <c r="Z118">
        <f t="shared" si="56"/>
        <v>7</v>
      </c>
    </row>
    <row r="119" spans="1:26" x14ac:dyDescent="0.25">
      <c r="A119" s="336">
        <v>2012</v>
      </c>
      <c r="B119" s="341">
        <f>AVERAGE(B$26:B36)</f>
        <v>0.99624256363636365</v>
      </c>
      <c r="C119" s="341">
        <f>AVERAGE(C$26:C36)</f>
        <v>0.99624257272727268</v>
      </c>
      <c r="D119" s="341">
        <f>AVERAGE(D$26:D36)</f>
        <v>0.99616888909090906</v>
      </c>
      <c r="E119" s="341">
        <f>AVERAGE(E$26:E36)</f>
        <v>0.99631158090909089</v>
      </c>
      <c r="F119" s="341">
        <f>AVERAGE(F$26:F36)</f>
        <v>0.99613688909090914</v>
      </c>
      <c r="G119" s="341">
        <f>AVERAGE(G$26:G36)</f>
        <v>0.99606199545454532</v>
      </c>
      <c r="H119" s="341">
        <f>AVERAGE(H$26:H36)</f>
        <v>0.99600734636363619</v>
      </c>
      <c r="I119" s="341">
        <f>AVERAGE(I$26:I36)</f>
        <v>0.99600734999999974</v>
      </c>
      <c r="J119" s="341">
        <f>AVERAGE(J$26:J36)</f>
        <v>0.99652231499999977</v>
      </c>
      <c r="K119" s="341">
        <f>AVERAGE(K$26:K36)</f>
        <v>0.9964578300000001</v>
      </c>
      <c r="L119" s="341">
        <f>AVERAGE(L$26:L36)</f>
        <v>0.99678045500000001</v>
      </c>
      <c r="M119" s="341">
        <f>AVERAGE(M$26:M36)</f>
        <v>0.9964762840000001</v>
      </c>
      <c r="N119" s="342">
        <f>AVERAGE(N$26:N36)</f>
        <v>0.9961997020833333</v>
      </c>
      <c r="X119" t="s">
        <v>357</v>
      </c>
      <c r="Y119" s="292">
        <v>0.99188390000000004</v>
      </c>
      <c r="Z119">
        <f t="shared" si="56"/>
        <v>8</v>
      </c>
    </row>
    <row r="120" spans="1:26" x14ac:dyDescent="0.25">
      <c r="A120" s="299">
        <v>2013</v>
      </c>
      <c r="B120" s="313">
        <f>AVERAGE(B$26:B37)</f>
        <v>0.99607322657847597</v>
      </c>
      <c r="C120" s="313">
        <f>AVERAGE(C$26:C37)</f>
        <v>0.99607871395321268</v>
      </c>
      <c r="D120" s="313">
        <f>AVERAGE(D$26:D37)</f>
        <v>0.99599969408505939</v>
      </c>
      <c r="E120" s="313">
        <f>AVERAGE(E$26:E37)</f>
        <v>0.99616198236611619</v>
      </c>
      <c r="F120" s="313">
        <f>AVERAGE(F$26:F37)</f>
        <v>0.99597331284015223</v>
      </c>
      <c r="G120" s="313">
        <f>AVERAGE(G$26:G37)</f>
        <v>0.99586476072589569</v>
      </c>
      <c r="H120" s="313">
        <f>AVERAGE(H$26:H37)</f>
        <v>0.99582930261130986</v>
      </c>
      <c r="I120" s="313">
        <f>AVERAGE(I$26:I37)</f>
        <v>0.99583683106201493</v>
      </c>
      <c r="J120" s="313">
        <f>AVERAGE(J$26:J37)</f>
        <v>0.99635326238538868</v>
      </c>
      <c r="K120" s="313">
        <f>AVERAGE(K$26:K37)</f>
        <v>0.99623776510085638</v>
      </c>
      <c r="L120" s="313">
        <f>AVERAGE(L$26:L37)</f>
        <v>0.99661696726256899</v>
      </c>
      <c r="M120" s="313">
        <f>AVERAGE(M$26:M37)</f>
        <v>0.99627447969698968</v>
      </c>
      <c r="N120" s="314">
        <f>AVERAGE(N$26:N37)</f>
        <v>0.99603570753174087</v>
      </c>
      <c r="X120" t="s">
        <v>358</v>
      </c>
      <c r="Y120" s="292">
        <v>0.99576865999999997</v>
      </c>
      <c r="Z120">
        <f t="shared" si="56"/>
        <v>5</v>
      </c>
    </row>
    <row r="121" spans="1:26" x14ac:dyDescent="0.25">
      <c r="A121" s="299">
        <v>2014</v>
      </c>
      <c r="B121" s="313">
        <f>AVERAGE(B$26:B38)</f>
        <v>0.99591942737942718</v>
      </c>
      <c r="C121" s="313">
        <f>AVERAGE(C$26:C38)</f>
        <v>0.9959298903671534</v>
      </c>
      <c r="D121" s="313">
        <f>AVERAGE(D$26:D38)</f>
        <v>0.99584602390378096</v>
      </c>
      <c r="E121" s="313">
        <f>AVERAGE(E$26:E38)</f>
        <v>0.99602611053525192</v>
      </c>
      <c r="F121" s="313">
        <f>AVERAGE(F$26:F38)</f>
        <v>0.99582474585390812</v>
      </c>
      <c r="G121" s="313">
        <f>AVERAGE(G$26:G38)</f>
        <v>0.99568562366240043</v>
      </c>
      <c r="H121" s="313">
        <f>AVERAGE(H$26:H38)</f>
        <v>0.99566759561790275</v>
      </c>
      <c r="I121" s="313">
        <f>AVERAGE(I$26:I38)</f>
        <v>0.99568195842862994</v>
      </c>
      <c r="J121" s="313">
        <f>AVERAGE(J$26:J38)</f>
        <v>0.99620108138893848</v>
      </c>
      <c r="K121" s="313">
        <f>AVERAGE(K$26:K38)</f>
        <v>0.99603966289633006</v>
      </c>
      <c r="L121" s="313">
        <f>AVERAGE(L$26:L38)</f>
        <v>0.99646979576305172</v>
      </c>
      <c r="M121" s="313">
        <f>AVERAGE(M$26:M38)</f>
        <v>0.99609281566303975</v>
      </c>
      <c r="N121" s="314">
        <f>AVERAGE(N$26:N38)</f>
        <v>0.99588601877093741</v>
      </c>
      <c r="X121" t="s">
        <v>359</v>
      </c>
      <c r="Y121" s="292">
        <v>0.99251089999999997</v>
      </c>
      <c r="Z121">
        <f t="shared" si="56"/>
        <v>9</v>
      </c>
    </row>
    <row r="122" spans="1:26" x14ac:dyDescent="0.25">
      <c r="A122" s="299">
        <v>2015</v>
      </c>
      <c r="B122" s="313">
        <f>AVERAGE(B$26:B39)</f>
        <v>0.99577868875994546</v>
      </c>
      <c r="C122" s="313">
        <f>AVERAGE(C$26:C39)</f>
        <v>0.99579370483317253</v>
      </c>
      <c r="D122" s="313">
        <f>AVERAGE(D$26:D39)</f>
        <v>0.99570540334592117</v>
      </c>
      <c r="E122" s="313">
        <f>AVERAGE(E$26:E39)</f>
        <v>0.99590177689749204</v>
      </c>
      <c r="F122" s="313">
        <f>AVERAGE(F$26:F39)</f>
        <v>0.99568879512936692</v>
      </c>
      <c r="G122" s="313">
        <f>AVERAGE(G$26:G39)</f>
        <v>0.99552169886194464</v>
      </c>
      <c r="H122" s="313">
        <f>AVERAGE(H$26:H39)</f>
        <v>0.99551962073147027</v>
      </c>
      <c r="I122" s="313">
        <f>AVERAGE(I$26:I39)</f>
        <v>0.99554023753051801</v>
      </c>
      <c r="J122" s="313">
        <f>AVERAGE(J$26:J39)</f>
        <v>0.99606286406275824</v>
      </c>
      <c r="K122" s="313">
        <f>AVERAGE(K$26:K39)</f>
        <v>0.99585973795393423</v>
      </c>
      <c r="L122" s="313">
        <f>AVERAGE(L$26:L39)</f>
        <v>0.996336128277441</v>
      </c>
      <c r="M122" s="313">
        <f>AVERAGE(M$26:M39)</f>
        <v>0.99592782057415608</v>
      </c>
      <c r="N122" s="314">
        <f>AVERAGE(N$26:N39)</f>
        <v>0.99574848155681794</v>
      </c>
      <c r="X122" t="s">
        <v>360</v>
      </c>
      <c r="Y122" s="292"/>
      <c r="Z122">
        <f t="shared" si="56"/>
        <v>8</v>
      </c>
    </row>
    <row r="123" spans="1:26" x14ac:dyDescent="0.25">
      <c r="A123" s="299">
        <v>2016</v>
      </c>
      <c r="B123" s="313">
        <f>AVERAGE(B$26:B40)</f>
        <v>0.9956490734425173</v>
      </c>
      <c r="C123" s="313">
        <f>AVERAGE(C$26:C40)</f>
        <v>0.99566828274731534</v>
      </c>
      <c r="D123" s="313">
        <f>AVERAGE(D$26:D40)</f>
        <v>0.99557589675909341</v>
      </c>
      <c r="E123" s="313">
        <f>AVERAGE(E$26:E40)</f>
        <v>0.99578726999111045</v>
      </c>
      <c r="F123" s="313">
        <f>AVERAGE(F$26:F40)</f>
        <v>0.99556358929474309</v>
      </c>
      <c r="G123" s="313">
        <f>AVERAGE(G$26:G40)</f>
        <v>0.99537072988751762</v>
      </c>
      <c r="H123" s="313">
        <f>AVERAGE(H$26:H40)</f>
        <v>0.99538334106674853</v>
      </c>
      <c r="I123" s="313">
        <f>AVERAGE(I$26:I40)</f>
        <v>0.9954097175690273</v>
      </c>
      <c r="J123" s="313">
        <f>AVERAGE(J$26:J40)</f>
        <v>0.99593638410840624</v>
      </c>
      <c r="K123" s="313">
        <f>AVERAGE(K$26:K40)</f>
        <v>0.99569509218100605</v>
      </c>
      <c r="L123" s="313">
        <f>AVERAGE(L$26:L40)</f>
        <v>0.99621381179262969</v>
      </c>
      <c r="M123" s="313">
        <f>AVERAGE(M$26:M40)</f>
        <v>0.99577683681627982</v>
      </c>
      <c r="N123" s="314">
        <f>AVERAGE(N$26:N40)</f>
        <v>0.99562138352748675</v>
      </c>
      <c r="X123" t="s">
        <v>361</v>
      </c>
      <c r="Y123" s="293">
        <v>0.99830669999999999</v>
      </c>
      <c r="Z123">
        <f t="shared" si="56"/>
        <v>2</v>
      </c>
    </row>
    <row r="124" spans="1:26" x14ac:dyDescent="0.25">
      <c r="A124" s="299">
        <v>2017</v>
      </c>
      <c r="B124" s="313">
        <f>AVERAGE(B$26:B41)</f>
        <v>0.99552903883028609</v>
      </c>
      <c r="C124" s="313">
        <f>AVERAGE(C$26:C41)</f>
        <v>0.99555213141782894</v>
      </c>
      <c r="D124" s="313">
        <f>AVERAGE(D$26:D41)</f>
        <v>0.99545596284048188</v>
      </c>
      <c r="E124" s="313">
        <f>AVERAGE(E$26:E41)</f>
        <v>0.99568122702969197</v>
      </c>
      <c r="F124" s="313">
        <f>AVERAGE(F$26:F41)</f>
        <v>0.9954476382319648</v>
      </c>
      <c r="G124" s="313">
        <f>AVERAGE(G$26:G41)</f>
        <v>0.99523092000498348</v>
      </c>
      <c r="H124" s="313">
        <f>AVERAGE(H$26:H41)</f>
        <v>0.99525713471217236</v>
      </c>
      <c r="I124" s="313">
        <f>AVERAGE(I$26:I41)</f>
        <v>0.99528884518081884</v>
      </c>
      <c r="J124" s="313">
        <f>AVERAGE(J$26:J41)</f>
        <v>0.99581990051994973</v>
      </c>
      <c r="K124" s="313">
        <f>AVERAGE(K$26:K41)</f>
        <v>0.99554345921629517</v>
      </c>
      <c r="L124" s="313">
        <f>AVERAGE(L$26:L41)</f>
        <v>0.9961011626131514</v>
      </c>
      <c r="M124" s="313">
        <f>AVERAGE(M$26:M41)</f>
        <v>0.99563778608680897</v>
      </c>
      <c r="N124" s="314">
        <f>AVERAGE(N$26:N41)</f>
        <v>0.9955033425703893</v>
      </c>
      <c r="X124" t="s">
        <v>362</v>
      </c>
      <c r="Y124" s="293">
        <v>0.99893264999999998</v>
      </c>
      <c r="Z124">
        <f t="shared" si="56"/>
        <v>2</v>
      </c>
    </row>
    <row r="125" spans="1:26" x14ac:dyDescent="0.25">
      <c r="A125" s="299">
        <v>2018</v>
      </c>
      <c r="B125" s="313">
        <f>AVERAGE(B$26:B42)</f>
        <v>0.9954173373368983</v>
      </c>
      <c r="C125" s="313">
        <f>AVERAGE(C$26:C42)</f>
        <v>0.99544404361947281</v>
      </c>
      <c r="D125" s="313">
        <f>AVERAGE(D$26:D42)</f>
        <v>0.9953443550502975</v>
      </c>
      <c r="E125" s="313">
        <f>AVERAGE(E$26:E42)</f>
        <v>0.99558254584987604</v>
      </c>
      <c r="F125" s="313">
        <f>AVERAGE(F$26:F42)</f>
        <v>0.99533973679727439</v>
      </c>
      <c r="G125" s="313">
        <f>AVERAGE(G$26:G42)</f>
        <v>0.99510081609262713</v>
      </c>
      <c r="H125" s="313">
        <f>AVERAGE(H$26:H42)</f>
        <v>0.99513968993504398</v>
      </c>
      <c r="I125" s="313">
        <f>AVERAGE(I$26:I42)</f>
        <v>0.995176364072068</v>
      </c>
      <c r="J125" s="313">
        <f>AVERAGE(J$26:J42)</f>
        <v>0.99571202698579431</v>
      </c>
      <c r="K125" s="313">
        <f>AVERAGE(K$26:K42)</f>
        <v>0.99540303442328737</v>
      </c>
      <c r="L125" s="313">
        <f>AVERAGE(L$26:L42)</f>
        <v>0.99599684006204314</v>
      </c>
      <c r="M125" s="313">
        <f>AVERAGE(M$26:M42)</f>
        <v>0.9955090134947755</v>
      </c>
      <c r="N125" s="314">
        <f>AVERAGE(N$26:N42)</f>
        <v>0.99539322805522001</v>
      </c>
      <c r="X125" t="s">
        <v>363</v>
      </c>
      <c r="Y125" s="292">
        <v>0.99665340000000002</v>
      </c>
      <c r="Z125">
        <f t="shared" si="56"/>
        <v>4</v>
      </c>
    </row>
    <row r="126" spans="1:26" x14ac:dyDescent="0.25">
      <c r="A126" s="299">
        <v>2019</v>
      </c>
      <c r="B126" s="313">
        <f>AVERAGE(B$26:B43)</f>
        <v>0.99531294620316269</v>
      </c>
      <c r="C126" s="313">
        <f>AVERAGE(C$26:C43)</f>
        <v>0.99534302968070465</v>
      </c>
      <c r="D126" s="313">
        <f>AVERAGE(D$26:D43)</f>
        <v>0.99524005148731276</v>
      </c>
      <c r="E126" s="313">
        <f>AVERAGE(E$26:E43)</f>
        <v>0.99549032290883099</v>
      </c>
      <c r="F126" s="313">
        <f>AVERAGE(F$26:F43)</f>
        <v>0.99523889702550961</v>
      </c>
      <c r="G126" s="313">
        <f>AVERAGE(G$26:G43)</f>
        <v>0.99497922689536233</v>
      </c>
      <c r="H126" s="313">
        <f>AVERAGE(H$26:H43)</f>
        <v>0.99502993138962148</v>
      </c>
      <c r="I126" s="313">
        <f>AVERAGE(I$26:I43)</f>
        <v>0.99507124434528349</v>
      </c>
      <c r="J126" s="313">
        <f>AVERAGE(J$26:J43)</f>
        <v>0.99561164231642085</v>
      </c>
      <c r="K126" s="313">
        <f>AVERAGE(K$26:K43)</f>
        <v>0.99527235828916172</v>
      </c>
      <c r="L126" s="313">
        <f>AVERAGE(L$26:L43)</f>
        <v>0.99589975985712376</v>
      </c>
      <c r="M126" s="313">
        <f>AVERAGE(M$26:M43)</f>
        <v>0.99538918063515114</v>
      </c>
      <c r="N126" s="314">
        <f>AVERAGE(N$26:N43)</f>
        <v>0.99529010403938778</v>
      </c>
      <c r="X126" t="s">
        <v>364</v>
      </c>
      <c r="Y126" s="293">
        <v>0.99901470000000003</v>
      </c>
      <c r="Z126">
        <f t="shared" si="56"/>
        <v>1</v>
      </c>
    </row>
    <row r="127" spans="1:26" x14ac:dyDescent="0.25">
      <c r="A127" s="299">
        <v>2020</v>
      </c>
      <c r="B127" s="313">
        <f>AVERAGE(B$26:B44)</f>
        <v>0.9952150169362951</v>
      </c>
      <c r="C127" s="313">
        <f>AVERAGE(C$26:C44)</f>
        <v>0.99524826855863435</v>
      </c>
      <c r="D127" s="313">
        <f>AVERAGE(D$26:D44)</f>
        <v>0.99514220437051981</v>
      </c>
      <c r="E127" s="313">
        <f>AVERAGE(E$26:E44)</f>
        <v>0.99540380861703504</v>
      </c>
      <c r="F127" s="313">
        <f>AVERAGE(F$26:F44)</f>
        <v>0.99514429928941217</v>
      </c>
      <c r="G127" s="313">
        <f>AVERAGE(G$26:G44)</f>
        <v>0.99486516413427251</v>
      </c>
      <c r="H127" s="313">
        <f>AVERAGE(H$26:H44)</f>
        <v>0.99492696695671379</v>
      </c>
      <c r="I127" s="313">
        <f>AVERAGE(I$26:I44)</f>
        <v>0.99497263158566551</v>
      </c>
      <c r="J127" s="313">
        <f>AVERAGE(J$26:J44)</f>
        <v>0.99551782737153749</v>
      </c>
      <c r="K127" s="313">
        <f>AVERAGE(K$26:K44)</f>
        <v>0.99515023431946503</v>
      </c>
      <c r="L127" s="313">
        <f>AVERAGE(L$26:L44)</f>
        <v>0.99580903311437885</v>
      </c>
      <c r="M127" s="313">
        <f>AVERAGE(M$26:M44)</f>
        <v>0.99527719029647643</v>
      </c>
      <c r="N127" s="314">
        <f>AVERAGE(N$26:N44)</f>
        <v>0.99519318752349051</v>
      </c>
      <c r="X127" t="s">
        <v>365</v>
      </c>
      <c r="Y127" s="292">
        <v>0.99746573999999999</v>
      </c>
      <c r="Z127">
        <f t="shared" si="56"/>
        <v>3</v>
      </c>
    </row>
    <row r="128" spans="1:26" x14ac:dyDescent="0.25">
      <c r="A128" s="299">
        <v>2021</v>
      </c>
      <c r="B128" s="313">
        <f>AVERAGE(B$26:B45)</f>
        <v>0.99512283815026148</v>
      </c>
      <c r="C128" s="313">
        <f>AVERAGE(C$26:C45)</f>
        <v>0.9951590718815323</v>
      </c>
      <c r="D128" s="313">
        <f>AVERAGE(D$26:D45)</f>
        <v>0.99505010291064599</v>
      </c>
      <c r="E128" s="313">
        <f>AVERAGE(E$26:E45)</f>
        <v>0.9953223745100781</v>
      </c>
      <c r="F128" s="313">
        <f>AVERAGE(F$26:F45)</f>
        <v>0.99505525640413484</v>
      </c>
      <c r="G128" s="313">
        <f>AVERAGE(G$26:G45)</f>
        <v>0.99475779922503538</v>
      </c>
      <c r="H128" s="313">
        <f>AVERAGE(H$26:H45)</f>
        <v>0.9948300486734093</v>
      </c>
      <c r="I128" s="313">
        <f>AVERAGE(I$26:I45)</f>
        <v>0.9948798094420942</v>
      </c>
      <c r="J128" s="313">
        <f>AVERAGE(J$26:J45)</f>
        <v>0.99542981962179022</v>
      </c>
      <c r="K128" s="313">
        <f>AVERAGE(K$26:K45)</f>
        <v>0.99503566988864234</v>
      </c>
      <c r="L128" s="313">
        <f>AVERAGE(L$26:L45)</f>
        <v>0.99572392240541008</v>
      </c>
      <c r="M128" s="313">
        <f>AVERAGE(M$26:M45)</f>
        <v>0.99517213221950951</v>
      </c>
      <c r="N128" s="314">
        <f>AVERAGE(N$26:N45)</f>
        <v>0.99510181723964786</v>
      </c>
      <c r="X128" t="s">
        <v>366</v>
      </c>
      <c r="Y128" s="292">
        <v>0.996699</v>
      </c>
      <c r="Z128">
        <f t="shared" si="56"/>
        <v>4</v>
      </c>
    </row>
    <row r="129" spans="1:26" x14ac:dyDescent="0.25">
      <c r="A129" s="299">
        <v>2022</v>
      </c>
      <c r="B129" s="313">
        <f>AVERAGE(B$26:B46)</f>
        <v>0.99503580776889811</v>
      </c>
      <c r="C129" s="313">
        <f>AVERAGE(C$26:C46)</f>
        <v>0.99507485705121657</v>
      </c>
      <c r="D129" s="313">
        <f>AVERAGE(D$26:D46)</f>
        <v>0.99496314553659237</v>
      </c>
      <c r="E129" s="313">
        <f>AVERAGE(E$26:E46)</f>
        <v>0.99524548869188278</v>
      </c>
      <c r="F129" s="313">
        <f>AVERAGE(F$26:F46)</f>
        <v>0.99497118677600427</v>
      </c>
      <c r="G129" s="313">
        <f>AVERAGE(G$26:G46)</f>
        <v>0.99465643090160649</v>
      </c>
      <c r="H129" s="313">
        <f>AVERAGE(H$26:H46)</f>
        <v>0.99473854350698199</v>
      </c>
      <c r="I129" s="313">
        <f>AVERAGE(I$26:I46)</f>
        <v>0.99479217163624345</v>
      </c>
      <c r="J129" s="313">
        <f>AVERAGE(J$26:J46)</f>
        <v>0.99534697975386555</v>
      </c>
      <c r="K129" s="313">
        <f>AVERAGE(K$26:K46)</f>
        <v>0.99492783276809948</v>
      </c>
      <c r="L129" s="313">
        <f>AVERAGE(L$26:L46)</f>
        <v>0.99564380946183184</v>
      </c>
      <c r="M129" s="313">
        <f>AVERAGE(M$26:M46)</f>
        <v>0.99507324323251312</v>
      </c>
      <c r="N129" s="314">
        <f>AVERAGE(N$26:N46)</f>
        <v>0.99501542995469894</v>
      </c>
      <c r="X129" t="s">
        <v>367</v>
      </c>
      <c r="Y129" s="292">
        <v>0.99636029999999998</v>
      </c>
      <c r="Z129">
        <f t="shared" si="56"/>
        <v>4</v>
      </c>
    </row>
    <row r="130" spans="1:26" x14ac:dyDescent="0.25">
      <c r="A130" s="299">
        <v>2023</v>
      </c>
      <c r="B130" s="313">
        <f>AVERAGE(B$26:B47)</f>
        <v>0.99495341190348041</v>
      </c>
      <c r="C130" s="313">
        <f>AVERAGE(C$26:C47)</f>
        <v>0.99499512680396063</v>
      </c>
      <c r="D130" s="313">
        <f>AVERAGE(D$26:D47)</f>
        <v>0.99488081879072088</v>
      </c>
      <c r="E130" s="313">
        <f>AVERAGE(E$26:E47)</f>
        <v>0.99517269717437695</v>
      </c>
      <c r="F130" s="313">
        <f>AVERAGE(F$26:F47)</f>
        <v>0.99489159399867011</v>
      </c>
      <c r="G130" s="313">
        <f>AVERAGE(G$26:G47)</f>
        <v>0.99456046061394332</v>
      </c>
      <c r="H130" s="313">
        <f>AVERAGE(H$26:H47)</f>
        <v>0.99465191114642171</v>
      </c>
      <c r="I130" s="313">
        <f>AVERAGE(I$26:I47)</f>
        <v>0.99470920069272628</v>
      </c>
      <c r="J130" s="313">
        <f>AVERAGE(J$26:J47)</f>
        <v>0.99526876668979958</v>
      </c>
      <c r="K130" s="313">
        <f>AVERAGE(K$26:K47)</f>
        <v>0.99482601860749043</v>
      </c>
      <c r="L130" s="313">
        <f>AVERAGE(L$26:L47)</f>
        <v>0.9955681710168951</v>
      </c>
      <c r="M130" s="313">
        <f>AVERAGE(M$26:M47)</f>
        <v>0.99497987743088723</v>
      </c>
      <c r="N130" s="314">
        <f>AVERAGE(N$26:N47)</f>
        <v>0.99493354222871633</v>
      </c>
      <c r="X130" t="s">
        <v>368</v>
      </c>
      <c r="Y130" s="292">
        <v>0.99413810000000002</v>
      </c>
      <c r="Z130">
        <f t="shared" si="56"/>
        <v>6</v>
      </c>
    </row>
    <row r="131" spans="1:26" x14ac:dyDescent="0.25">
      <c r="A131" s="299">
        <v>2024</v>
      </c>
      <c r="B131" s="313">
        <f>AVERAGE(B$26:B48)</f>
        <v>0.9948752085745407</v>
      </c>
      <c r="C131" s="313">
        <f>AVERAGE(C$26:C48)</f>
        <v>0.99491945345893307</v>
      </c>
      <c r="D131" s="313">
        <f>AVERAGE(D$26:D48)</f>
        <v>0.99480268106432779</v>
      </c>
      <c r="E131" s="313">
        <f>AVERAGE(E$26:E48)</f>
        <v>0.99510360949675281</v>
      </c>
      <c r="F131" s="313">
        <f>AVERAGE(F$26:F48)</f>
        <v>0.99481605112870264</v>
      </c>
      <c r="G131" s="313">
        <f>AVERAGE(G$26:G48)</f>
        <v>0.99446937356805198</v>
      </c>
      <c r="H131" s="313">
        <f>AVERAGE(H$26:H48)</f>
        <v>0.9945696868872872</v>
      </c>
      <c r="I131" s="313">
        <f>AVERAGE(I$26:I48)</f>
        <v>0.99463045154729979</v>
      </c>
      <c r="J131" s="313">
        <f>AVERAGE(J$26:J48)</f>
        <v>0.99519471860452491</v>
      </c>
      <c r="K131" s="313">
        <f>AVERAGE(K$26:K48)</f>
        <v>0.994729626224236</v>
      </c>
      <c r="L131" s="313">
        <f>AVERAGE(L$26:L48)</f>
        <v>0.99549656044789858</v>
      </c>
      <c r="M131" s="313">
        <f>AVERAGE(M$26:M48)</f>
        <v>0.99489148351711976</v>
      </c>
      <c r="N131" s="314">
        <f>AVERAGE(N$26:N48)</f>
        <v>0.99485573619622725</v>
      </c>
      <c r="X131" t="s">
        <v>369</v>
      </c>
      <c r="Y131" s="292">
        <v>0.99188390000000004</v>
      </c>
      <c r="Z131">
        <f t="shared" si="56"/>
        <v>8</v>
      </c>
    </row>
    <row r="132" spans="1:26" x14ac:dyDescent="0.25">
      <c r="A132" s="299">
        <v>2025</v>
      </c>
      <c r="B132" s="313">
        <f>AVERAGE(B$26:B49)</f>
        <v>0.99480081500674145</v>
      </c>
      <c r="C132" s="313">
        <f>AVERAGE(C$26:C49)</f>
        <v>0.99484746662409851</v>
      </c>
      <c r="D132" s="313">
        <f>AVERAGE(D$26:D49)</f>
        <v>0.99472834990317516</v>
      </c>
      <c r="E132" s="313">
        <f>AVERAGE(E$26:E49)</f>
        <v>0.99503788750129429</v>
      </c>
      <c r="F132" s="313">
        <f>AVERAGE(F$26:F49)</f>
        <v>0.9947441884126923</v>
      </c>
      <c r="G132" s="313">
        <f>AVERAGE(G$26:G49)</f>
        <v>0.99438272392773586</v>
      </c>
      <c r="H132" s="313">
        <f>AVERAGE(H$26:H49)</f>
        <v>0.99449146827332802</v>
      </c>
      <c r="I132" s="313">
        <f>AVERAGE(I$26:I49)</f>
        <v>0.99455553875306402</v>
      </c>
      <c r="J132" s="313">
        <f>AVERAGE(J$26:J49)</f>
        <v>0.99512443829688146</v>
      </c>
      <c r="K132" s="313">
        <f>AVERAGE(K$26:K49)</f>
        <v>0.99463813856018002</v>
      </c>
      <c r="L132" s="313">
        <f>AVERAGE(L$26:L49)</f>
        <v>0.9954285936287578</v>
      </c>
      <c r="M132" s="313">
        <f>AVERAGE(M$26:M49)</f>
        <v>0.99480758733762586</v>
      </c>
      <c r="N132" s="314">
        <f>AVERAGE(N$26:N49)</f>
        <v>0.99478164835621641</v>
      </c>
      <c r="X132" t="s">
        <v>370</v>
      </c>
      <c r="Y132" s="292">
        <v>0.99576865999999997</v>
      </c>
      <c r="Z132">
        <f t="shared" si="56"/>
        <v>5</v>
      </c>
    </row>
    <row r="133" spans="1:26" x14ac:dyDescent="0.25">
      <c r="A133" s="299">
        <v>2026</v>
      </c>
      <c r="B133" s="313">
        <f>AVERAGE(B$26:B50)</f>
        <v>0.9947298975978337</v>
      </c>
      <c r="C133" s="313">
        <f>AVERAGE(C$26:C50)</f>
        <v>0.9947788434896937</v>
      </c>
      <c r="D133" s="313">
        <f>AVERAGE(D$26:D50)</f>
        <v>0.9946574919848632</v>
      </c>
      <c r="E133" s="313">
        <f>AVERAGE(E$26:E50)</f>
        <v>0.9949752364715877</v>
      </c>
      <c r="F133" s="313">
        <f>AVERAGE(F$26:F50)</f>
        <v>0.99467568359746028</v>
      </c>
      <c r="G133" s="313">
        <f>AVERAGE(G$26:G50)</f>
        <v>0.99430012313097615</v>
      </c>
      <c r="H133" s="313">
        <f>AVERAGE(H$26:H50)</f>
        <v>0.9944169045496829</v>
      </c>
      <c r="I133" s="313">
        <f>AVERAGE(I$26:I50)</f>
        <v>0.99448412637940864</v>
      </c>
      <c r="J133" s="313">
        <f>AVERAGE(J$26:J50)</f>
        <v>0.99505758177168613</v>
      </c>
      <c r="K133" s="313">
        <f>AVERAGE(K$26:K50)</f>
        <v>0.99455110781825351</v>
      </c>
      <c r="L133" s="313">
        <f>AVERAGE(L$26:L50)</f>
        <v>0.99536393788792932</v>
      </c>
      <c r="M133" s="313">
        <f>AVERAGE(M$26:M50)</f>
        <v>0.99472777825274561</v>
      </c>
      <c r="N133" s="314">
        <f>AVERAGE(N$26:N50)</f>
        <v>0.99471096064190789</v>
      </c>
      <c r="X133" t="s">
        <v>371</v>
      </c>
      <c r="Y133" s="293">
        <v>0.99830669999999999</v>
      </c>
      <c r="Z133">
        <f t="shared" si="56"/>
        <v>2</v>
      </c>
    </row>
    <row r="134" spans="1:26" x14ac:dyDescent="0.25">
      <c r="A134" s="299">
        <v>2027</v>
      </c>
      <c r="B134" s="313">
        <f>AVERAGE(B$26:B51)</f>
        <v>0.99466216391552331</v>
      </c>
      <c r="C134" s="313">
        <f>AVERAGE(C$26:C51)</f>
        <v>0.99471330108400646</v>
      </c>
      <c r="D134" s="313">
        <f>AVERAGE(D$26:D51)</f>
        <v>0.99458981512241096</v>
      </c>
      <c r="E134" s="313">
        <f>AVERAGE(E$26:E51)</f>
        <v>0.9949153980622617</v>
      </c>
      <c r="F134" s="313">
        <f>AVERAGE(F$26:F51)</f>
        <v>0.9946102541991908</v>
      </c>
      <c r="G134" s="313">
        <f>AVERAGE(G$26:G51)</f>
        <v>0.99422123056831091</v>
      </c>
      <c r="H134" s="313">
        <f>AVERAGE(H$26:H51)</f>
        <v>0.99434568824825509</v>
      </c>
      <c r="I134" s="313">
        <f>AVERAGE(I$26:I51)</f>
        <v>0.9944159199530217</v>
      </c>
      <c r="J134" s="313">
        <f>AVERAGE(J$26:J51)</f>
        <v>0.99499384922496614</v>
      </c>
      <c r="K134" s="313">
        <f>AVERAGE(K$26:K51)</f>
        <v>0.99446814372746817</v>
      </c>
      <c r="L134" s="313">
        <f>AVERAGE(L$26:L51)</f>
        <v>0.99530230329039338</v>
      </c>
      <c r="M134" s="313">
        <f>AVERAGE(M$26:M51)</f>
        <v>0.99465169837548684</v>
      </c>
      <c r="N134" s="314">
        <f>AVERAGE(N$26:N51)</f>
        <v>0.99464339323857476</v>
      </c>
      <c r="X134" t="s">
        <v>372</v>
      </c>
      <c r="Y134" s="293">
        <v>0.99837326000000004</v>
      </c>
      <c r="Z134">
        <f t="shared" si="56"/>
        <v>2</v>
      </c>
    </row>
    <row r="135" spans="1:26" x14ac:dyDescent="0.25">
      <c r="A135" s="299">
        <v>2028</v>
      </c>
      <c r="B135" s="313">
        <f>AVERAGE(B$26:B52)</f>
        <v>0.99459735625085155</v>
      </c>
      <c r="C135" s="313">
        <f>AVERAGE(C$26:C52)</f>
        <v>0.99465059003531309</v>
      </c>
      <c r="D135" s="313">
        <f>AVERAGE(D$26:D52)</f>
        <v>0.99452506182304456</v>
      </c>
      <c r="E135" s="313">
        <f>AVERAGE(E$26:E52)</f>
        <v>0.99485814460380784</v>
      </c>
      <c r="F135" s="313">
        <f>AVERAGE(F$26:F52)</f>
        <v>0.99454765127612399</v>
      </c>
      <c r="G135" s="313">
        <f>AVERAGE(G$26:G52)</f>
        <v>0.9941457460741584</v>
      </c>
      <c r="H135" s="313">
        <f>AVERAGE(H$26:H52)</f>
        <v>0.99427754840963034</v>
      </c>
      <c r="I135" s="313">
        <f>AVERAGE(I$26:I52)</f>
        <v>0.99435065996627736</v>
      </c>
      <c r="J135" s="313">
        <f>AVERAGE(J$26:J52)</f>
        <v>0.99493297785164825</v>
      </c>
      <c r="K135" s="313">
        <f>AVERAGE(K$26:K52)</f>
        <v>0.99438890418029657</v>
      </c>
      <c r="L135" s="313">
        <f>AVERAGE(L$26:L52)</f>
        <v>0.99524343568209894</v>
      </c>
      <c r="M135" s="313">
        <f>AVERAGE(M$26:M52)</f>
        <v>0.99457903398579994</v>
      </c>
      <c r="N135" s="314">
        <f>AVERAGE(N$26:N52)</f>
        <v>0.99457869875634097</v>
      </c>
      <c r="X135" t="s">
        <v>373</v>
      </c>
      <c r="Y135" s="292">
        <v>0.99721269999999995</v>
      </c>
      <c r="Z135">
        <f t="shared" si="56"/>
        <v>3</v>
      </c>
    </row>
    <row r="136" spans="1:26" x14ac:dyDescent="0.25">
      <c r="A136" s="299">
        <v>2029</v>
      </c>
      <c r="B136" s="313">
        <f>AVERAGE(B$26:B53)</f>
        <v>0.99453524637952539</v>
      </c>
      <c r="C136" s="313">
        <f>AVERAGE(C$26:C53)</f>
        <v>0.99459048950268603</v>
      </c>
      <c r="D136" s="313">
        <f>AVERAGE(D$26:D53)</f>
        <v>0.99446300405392152</v>
      </c>
      <c r="E136" s="313">
        <f>AVERAGE(E$26:E53)</f>
        <v>0.99480327447454819</v>
      </c>
      <c r="F136" s="313">
        <f>AVERAGE(F$26:F53)</f>
        <v>0.99448765436810349</v>
      </c>
      <c r="G136" s="313">
        <f>AVERAGE(G$26:G53)</f>
        <v>0.99407340382509435</v>
      </c>
      <c r="H136" s="313">
        <f>AVERAGE(H$26:H53)</f>
        <v>0.9942122450750539</v>
      </c>
      <c r="I136" s="313">
        <f>AVERAGE(I$26:I53)</f>
        <v>0.99428811660200112</v>
      </c>
      <c r="J136" s="313">
        <f>AVERAGE(J$26:J53)</f>
        <v>0.99487473605206611</v>
      </c>
      <c r="K136" s="313">
        <f>AVERAGE(K$26:K53)</f>
        <v>0.99431308769097171</v>
      </c>
      <c r="L136" s="313">
        <f>AVERAGE(L$26:L53)</f>
        <v>0.99518711108718216</v>
      </c>
      <c r="M136" s="313">
        <f>AVERAGE(M$26:M53)</f>
        <v>0.99450950861467335</v>
      </c>
      <c r="N136" s="314">
        <f>AVERAGE(N$26:N53)</f>
        <v>0.99451665746392326</v>
      </c>
      <c r="X136" t="s">
        <v>374</v>
      </c>
      <c r="Y136" s="293">
        <v>0.99901470000000003</v>
      </c>
      <c r="Z136">
        <f t="shared" si="56"/>
        <v>1</v>
      </c>
    </row>
    <row r="137" spans="1:26" x14ac:dyDescent="0.25">
      <c r="A137" s="299">
        <v>2030</v>
      </c>
      <c r="B137" s="313">
        <f>AVERAGE(B$26:B54)</f>
        <v>0.99447563127023886</v>
      </c>
      <c r="C137" s="313">
        <f>AVERAGE(C$26:C54)</f>
        <v>0.99453280302315827</v>
      </c>
      <c r="D137" s="313">
        <f>AVERAGE(D$26:D54)</f>
        <v>0.99440343895405336</v>
      </c>
      <c r="E137" s="313">
        <f>AVERAGE(E$26:E54)</f>
        <v>0.99475060830921047</v>
      </c>
      <c r="F137" s="313">
        <f>AVERAGE(F$26:F54)</f>
        <v>0.99443006735090134</v>
      </c>
      <c r="G137" s="313">
        <f>AVERAGE(G$26:G54)</f>
        <v>0.99400396734113627</v>
      </c>
      <c r="H137" s="313">
        <f>AVERAGE(H$26:H54)</f>
        <v>0.99414956477409033</v>
      </c>
      <c r="I137" s="313">
        <f>AVERAGE(I$26:I54)</f>
        <v>0.99422808541184005</v>
      </c>
      <c r="J137" s="313">
        <f>AVERAGE(J$26:J54)</f>
        <v>0.99481891872403572</v>
      </c>
      <c r="K137" s="313">
        <f>AVERAGE(K$26:K54)</f>
        <v>0.99424042726692718</v>
      </c>
      <c r="L137" s="313">
        <f>AVERAGE(L$26:L54)</f>
        <v>0.99513313115501656</v>
      </c>
      <c r="M137" s="313">
        <f>AVERAGE(M$26:M54)</f>
        <v>0.99444287742411175</v>
      </c>
      <c r="N137" s="314">
        <f>AVERAGE(N$26:N54)</f>
        <v>0.9944570733608239</v>
      </c>
      <c r="X137" t="s">
        <v>375</v>
      </c>
      <c r="Y137" s="292">
        <v>0.99695590000000001</v>
      </c>
      <c r="Z137">
        <f t="shared" si="56"/>
        <v>4</v>
      </c>
    </row>
    <row r="138" spans="1:26" x14ac:dyDescent="0.25">
      <c r="A138" s="299">
        <v>2031</v>
      </c>
      <c r="B138" s="313">
        <f>AVERAGE(B$26:B55)</f>
        <v>0.99441832954238585</v>
      </c>
      <c r="C138" s="313">
        <f>AVERAGE(C$26:C55)</f>
        <v>0.99447735508403234</v>
      </c>
      <c r="D138" s="313">
        <f>AVERAGE(D$26:D55)</f>
        <v>0.99434618529498875</v>
      </c>
      <c r="E138" s="313">
        <f>AVERAGE(E$26:E55)</f>
        <v>0.99469998586954089</v>
      </c>
      <c r="F138" s="313">
        <f>AVERAGE(F$26:F55)</f>
        <v>0.99437471501443697</v>
      </c>
      <c r="G138" s="313">
        <f>AVERAGE(G$26:G55)</f>
        <v>0.99393722535987572</v>
      </c>
      <c r="H138" s="313">
        <f>AVERAGE(H$26:H55)</f>
        <v>0.99408931680020318</v>
      </c>
      <c r="I138" s="313">
        <f>AVERAGE(I$26:I55)</f>
        <v>0.99417038374925015</v>
      </c>
      <c r="J138" s="313">
        <f>AVERAGE(J$26:J55)</f>
        <v>0.99476534340598144</v>
      </c>
      <c r="K138" s="313">
        <f>AVERAGE(K$26:K55)</f>
        <v>0.99417068538809661</v>
      </c>
      <c r="L138" s="313">
        <f>AVERAGE(L$26:L55)</f>
        <v>0.99508131943030009</v>
      </c>
      <c r="M138" s="313">
        <f>AVERAGE(M$26:M55)</f>
        <v>0.99437892260304406</v>
      </c>
      <c r="N138" s="314">
        <f>AVERAGE(N$26:N55)</f>
        <v>0.99439977091787946</v>
      </c>
      <c r="X138" t="s">
        <v>376</v>
      </c>
      <c r="Y138" s="292">
        <v>0.99720894000000004</v>
      </c>
      <c r="Z138">
        <f t="shared" si="56"/>
        <v>3</v>
      </c>
    </row>
    <row r="139" spans="1:26" x14ac:dyDescent="0.25">
      <c r="A139" s="299">
        <v>2032</v>
      </c>
      <c r="B139" s="313">
        <f>AVERAGE(B$26:B56)</f>
        <v>0.99436317852194167</v>
      </c>
      <c r="C139" s="313">
        <f>AVERAGE(C$26:C56)</f>
        <v>0.99442398827400935</v>
      </c>
      <c r="D139" s="313">
        <f>AVERAGE(D$26:D56)</f>
        <v>0.99429108053916593</v>
      </c>
      <c r="E139" s="313">
        <f>AVERAGE(E$26:E56)</f>
        <v>0.99465126344336352</v>
      </c>
      <c r="F139" s="313">
        <f>AVERAGE(F$26:F56)</f>
        <v>0.99432144021881808</v>
      </c>
      <c r="G139" s="313">
        <f>AVERAGE(G$26:G56)</f>
        <v>0.99387298840732841</v>
      </c>
      <c r="H139" s="313">
        <f>AVERAGE(H$26:H56)</f>
        <v>0.99403133011526268</v>
      </c>
      <c r="I139" s="313">
        <f>AVERAGE(I$26:I56)</f>
        <v>0.99411484780483117</v>
      </c>
      <c r="J139" s="313">
        <f>AVERAGE(J$26:J56)</f>
        <v>0.99471384709352761</v>
      </c>
      <c r="K139" s="313">
        <f>AVERAGE(K$26:K56)</f>
        <v>0.99410364986289934</v>
      </c>
      <c r="L139" s="313">
        <f>AVERAGE(L$26:L56)</f>
        <v>0.99503151827443814</v>
      </c>
      <c r="M139" s="313">
        <f>AVERAGE(M$26:M56)</f>
        <v>0.9943174495671715</v>
      </c>
      <c r="N139" s="314">
        <f>AVERAGE(N$26:N56)</f>
        <v>0.99434459235485861</v>
      </c>
      <c r="X139" t="s">
        <v>377</v>
      </c>
      <c r="Y139" s="292">
        <v>0.99636029999999998</v>
      </c>
      <c r="Z139">
        <f t="shared" si="56"/>
        <v>4</v>
      </c>
    </row>
    <row r="140" spans="1:26" x14ac:dyDescent="0.25">
      <c r="A140" s="299">
        <v>2033</v>
      </c>
      <c r="B140" s="313">
        <f>AVERAGE(B$26:B57)</f>
        <v>0.99431003177866562</v>
      </c>
      <c r="C140" s="313">
        <f>AVERAGE(C$26:C57)</f>
        <v>0.99437256090006576</v>
      </c>
      <c r="D140" s="313">
        <f>AVERAGE(D$26:D57)</f>
        <v>0.99423797837918004</v>
      </c>
      <c r="E140" s="313">
        <f>AVERAGE(E$26:E57)</f>
        <v>0.99460431166885466</v>
      </c>
      <c r="F140" s="313">
        <f>AVERAGE(F$26:F57)</f>
        <v>0.99427010151532647</v>
      </c>
      <c r="G140" s="313">
        <f>AVERAGE(G$26:G57)</f>
        <v>0.99381108592939815</v>
      </c>
      <c r="H140" s="313">
        <f>AVERAGE(H$26:H57)</f>
        <v>0.9939754507601184</v>
      </c>
      <c r="I140" s="313">
        <f>AVERAGE(I$26:I57)</f>
        <v>0.99406133012633935</v>
      </c>
      <c r="J140" s="313">
        <f>AVERAGE(J$26:J57)</f>
        <v>0.99466428359365866</v>
      </c>
      <c r="K140" s="313">
        <f>AVERAGE(K$26:K57)</f>
        <v>0.99403913038400826</v>
      </c>
      <c r="L140" s="313">
        <f>AVERAGE(L$26:L57)</f>
        <v>0.99498358630679962</v>
      </c>
      <c r="M140" s="313">
        <f>AVERAGE(M$26:M57)</f>
        <v>0.99425828380053238</v>
      </c>
      <c r="N140" s="314">
        <f>AVERAGE(N$26:N57)</f>
        <v>0.99429139535283662</v>
      </c>
      <c r="X140" t="s">
        <v>378</v>
      </c>
      <c r="Y140" s="292">
        <v>0.99344180000000004</v>
      </c>
      <c r="Z140">
        <f t="shared" si="56"/>
        <v>7</v>
      </c>
    </row>
    <row r="141" spans="1:26" x14ac:dyDescent="0.25">
      <c r="A141" s="299">
        <v>2034</v>
      </c>
      <c r="B141" s="313">
        <f>AVERAGE(B$26:B58)</f>
        <v>0.99425875705350131</v>
      </c>
      <c r="C141" s="313">
        <f>AVERAGE(C$26:C58)</f>
        <v>0.99432294498190521</v>
      </c>
      <c r="D141" s="313">
        <f>AVERAGE(D$26:D58)</f>
        <v>0.9941867466669233</v>
      </c>
      <c r="E141" s="313">
        <f>AVERAGE(E$26:E58)</f>
        <v>0.99455901370353217</v>
      </c>
      <c r="F141" s="313">
        <f>AVERAGE(F$26:F58)</f>
        <v>0.99422057114432805</v>
      </c>
      <c r="G141" s="313">
        <f>AVERAGE(G$26:G58)</f>
        <v>0.99375136387782526</v>
      </c>
      <c r="H141" s="313">
        <f>AVERAGE(H$26:H58)</f>
        <v>0.99392153967543539</v>
      </c>
      <c r="I141" s="313">
        <f>AVERAGE(I$26:I58)</f>
        <v>0.99400969753162238</v>
      </c>
      <c r="J141" s="313">
        <f>AVERAGE(J$26:J58)</f>
        <v>0.99461652131143463</v>
      </c>
      <c r="K141" s="313">
        <f>AVERAGE(K$26:K58)</f>
        <v>0.99397695564719812</v>
      </c>
      <c r="L141" s="313">
        <f>AVERAGE(L$26:L58)</f>
        <v>0.99493739626428945</v>
      </c>
      <c r="M141" s="313">
        <f>AVERAGE(M$26:M58)</f>
        <v>0.99420126821342303</v>
      </c>
      <c r="N141" s="314">
        <f>AVERAGE(N$26:N58)</f>
        <v>0.99424005112101121</v>
      </c>
      <c r="X141" t="s">
        <v>379</v>
      </c>
      <c r="Y141" s="292">
        <v>0.98956469999999996</v>
      </c>
      <c r="Z141">
        <f t="shared" si="56"/>
        <v>8</v>
      </c>
    </row>
    <row r="142" spans="1:26" x14ac:dyDescent="0.25">
      <c r="A142" s="299">
        <v>2035</v>
      </c>
      <c r="B142" s="313">
        <f>AVERAGE(B$26:B59)</f>
        <v>0.99420923450452225</v>
      </c>
      <c r="C142" s="313">
        <f>AVERAGE(C$26:C59)</f>
        <v>0.99427502455465055</v>
      </c>
      <c r="D142" s="313">
        <f>AVERAGE(D$26:D59)</f>
        <v>0.99413726566100091</v>
      </c>
      <c r="E142" s="313">
        <f>AVERAGE(E$26:E59)</f>
        <v>0.99451526367466014</v>
      </c>
      <c r="F142" s="313">
        <f>AVERAGE(F$26:F59)</f>
        <v>0.9941727333408904</v>
      </c>
      <c r="G142" s="313">
        <f>AVERAGE(G$26:G59)</f>
        <v>0.99369368266715719</v>
      </c>
      <c r="H142" s="313">
        <f>AVERAGE(H$26:H59)</f>
        <v>0.99386947085745192</v>
      </c>
      <c r="I142" s="313">
        <f>AVERAGE(I$26:I59)</f>
        <v>0.99395982934232241</v>
      </c>
      <c r="J142" s="313">
        <f>AVERAGE(J$26:J59)</f>
        <v>0.99457044138737349</v>
      </c>
      <c r="K142" s="313">
        <f>AVERAGE(K$26:K59)</f>
        <v>0.99391697092667552</v>
      </c>
      <c r="L142" s="313">
        <f>AVERAGE(L$26:L59)</f>
        <v>0.99489283320004407</v>
      </c>
      <c r="M142" s="313">
        <f>AVERAGE(M$26:M59)</f>
        <v>0.99414626091892289</v>
      </c>
      <c r="N142" s="314">
        <f>AVERAGE(N$26:N59)</f>
        <v>0.99419044275436219</v>
      </c>
      <c r="X142" t="s">
        <v>380</v>
      </c>
      <c r="Y142" s="292">
        <v>0.99813929999999995</v>
      </c>
      <c r="Z142">
        <f t="shared" si="56"/>
        <v>2</v>
      </c>
    </row>
    <row r="143" spans="1:26" x14ac:dyDescent="0.25">
      <c r="A143" s="299">
        <v>2036</v>
      </c>
      <c r="B143" s="313">
        <f>AVERAGE(B$26:B60)</f>
        <v>0.99416135521462567</v>
      </c>
      <c r="C143" s="313">
        <f>AVERAGE(C$26:C60)</f>
        <v>0.99422869422481497</v>
      </c>
      <c r="D143" s="313">
        <f>AVERAGE(D$26:D60)</f>
        <v>0.99408942653567789</v>
      </c>
      <c r="E143" s="313">
        <f>AVERAGE(E$26:E60)</f>
        <v>0.99447296536089147</v>
      </c>
      <c r="F143" s="313">
        <f>AVERAGE(F$26:F60)</f>
        <v>0.99412648289324546</v>
      </c>
      <c r="G143" s="313">
        <f>AVERAGE(G$26:G60)</f>
        <v>0.99363791543659075</v>
      </c>
      <c r="H143" s="313">
        <f>AVERAGE(H$26:H60)</f>
        <v>0.99381912978894504</v>
      </c>
      <c r="I143" s="313">
        <f>AVERAGE(I$26:I60)</f>
        <v>0.9939116158811554</v>
      </c>
      <c r="J143" s="313">
        <f>AVERAGE(J$26:J60)</f>
        <v>0.99452593612110507</v>
      </c>
      <c r="K143" s="313">
        <f>AVERAGE(K$26:K60)</f>
        <v>0.99385903602306436</v>
      </c>
      <c r="L143" s="313">
        <f>AVERAGE(L$26:L60)</f>
        <v>0.99484979295897635</v>
      </c>
      <c r="M143" s="313">
        <f>AVERAGE(M$26:M60)</f>
        <v>0.99409313335115213</v>
      </c>
      <c r="N143" s="314">
        <f>AVERAGE(N$26:N60)</f>
        <v>0.99414246383143856</v>
      </c>
      <c r="X143" t="s">
        <v>381</v>
      </c>
      <c r="Y143" s="293">
        <v>0.99830669999999999</v>
      </c>
      <c r="Z143">
        <f t="shared" si="56"/>
        <v>2</v>
      </c>
    </row>
    <row r="144" spans="1:26" x14ac:dyDescent="0.25">
      <c r="A144" s="299">
        <v>2037</v>
      </c>
      <c r="B144" s="313">
        <f>AVERAGE(B$26:B61)</f>
        <v>0.99411501991562823</v>
      </c>
      <c r="C144" s="313">
        <f>AVERAGE(C$26:C61)</f>
        <v>0.99418385793567565</v>
      </c>
      <c r="D144" s="313">
        <f>AVERAGE(D$26:D61)</f>
        <v>0.99404313010604384</v>
      </c>
      <c r="E144" s="313">
        <f>AVERAGE(E$26:E61)</f>
        <v>0.99443203106508649</v>
      </c>
      <c r="F144" s="313">
        <f>AVERAGE(F$26:F61)</f>
        <v>0.99408172391029004</v>
      </c>
      <c r="G144" s="313">
        <f>AVERAGE(G$26:G61)</f>
        <v>0.99358394656386628</v>
      </c>
      <c r="H144" s="313">
        <f>AVERAGE(H$26:H61)</f>
        <v>0.99377041209772266</v>
      </c>
      <c r="I144" s="313">
        <f>AVERAGE(I$26:I61)</f>
        <v>0.99386495718709966</v>
      </c>
      <c r="J144" s="313">
        <f>AVERAGE(J$26:J61)</f>
        <v>0.99448290763025582</v>
      </c>
      <c r="K144" s="313">
        <f>AVERAGE(K$26:K61)</f>
        <v>0.99380302351760352</v>
      </c>
      <c r="L144" s="313">
        <f>AVERAGE(L$26:L61)</f>
        <v>0.99480818088080636</v>
      </c>
      <c r="M144" s="313">
        <f>AVERAGE(M$26:M61)</f>
        <v>0.99404176866433314</v>
      </c>
      <c r="N144" s="314">
        <f>AVERAGE(N$26:N61)</f>
        <v>0.99409601721154095</v>
      </c>
      <c r="X144" t="s">
        <v>382</v>
      </c>
      <c r="Y144" s="293">
        <v>0.99904300000000001</v>
      </c>
      <c r="Z144">
        <f t="shared" si="56"/>
        <v>1</v>
      </c>
    </row>
    <row r="145" spans="1:26" x14ac:dyDescent="0.25">
      <c r="A145" s="299">
        <v>2038</v>
      </c>
      <c r="B145" s="313">
        <f>AVERAGE(B$26:B62)</f>
        <v>0.99407013789229803</v>
      </c>
      <c r="C145" s="313">
        <f>AVERAGE(C$26:C62)</f>
        <v>0.99414042790676216</v>
      </c>
      <c r="D145" s="313">
        <f>AVERAGE(D$26:D62)</f>
        <v>0.99399828573296567</v>
      </c>
      <c r="E145" s="313">
        <f>AVERAGE(E$26:E62)</f>
        <v>0.99439238064609548</v>
      </c>
      <c r="F145" s="313">
        <f>AVERAGE(F$26:F62)</f>
        <v>0.99403836876290352</v>
      </c>
      <c r="G145" s="313">
        <f>AVERAGE(G$26:G62)</f>
        <v>0.99353167038874435</v>
      </c>
      <c r="H145" s="313">
        <f>AVERAGE(H$26:H62)</f>
        <v>0.99372322240430677</v>
      </c>
      <c r="I145" s="313">
        <f>AVERAGE(I$26:I62)</f>
        <v>0.99381976191178112</v>
      </c>
      <c r="J145" s="313">
        <f>AVERAGE(J$26:J62)</f>
        <v>0.99444126670380883</v>
      </c>
      <c r="K145" s="313">
        <f>AVERAGE(K$26:K62)</f>
        <v>0.99374881727950481</v>
      </c>
      <c r="L145" s="313">
        <f>AVERAGE(L$26:L62)</f>
        <v>0.99476791069116743</v>
      </c>
      <c r="M145" s="313">
        <f>AVERAGE(M$26:M62)</f>
        <v>0.993992060364005</v>
      </c>
      <c r="N145" s="314">
        <f>AVERAGE(N$26:N62)</f>
        <v>0.99405101399838314</v>
      </c>
      <c r="X145" t="s">
        <v>383</v>
      </c>
      <c r="Y145" s="292">
        <v>0.99668970000000001</v>
      </c>
      <c r="Z145">
        <f t="shared" si="56"/>
        <v>4</v>
      </c>
    </row>
    <row r="146" spans="1:26" x14ac:dyDescent="0.25">
      <c r="A146" s="299">
        <v>2039</v>
      </c>
      <c r="B146" s="313">
        <f>AVERAGE(B$26:B63)</f>
        <v>0.99402662603682013</v>
      </c>
      <c r="C146" s="313">
        <f>AVERAGE(C$26:C63)</f>
        <v>0.9940983237189096</v>
      </c>
      <c r="D146" s="313">
        <f>AVERAGE(D$26:D63)</f>
        <v>0.99395481037834477</v>
      </c>
      <c r="E146" s="313">
        <f>AVERAGE(E$26:E63)</f>
        <v>0.99435394068343863</v>
      </c>
      <c r="F146" s="313">
        <f>AVERAGE(F$26:F63)</f>
        <v>0.993996337170579</v>
      </c>
      <c r="G146" s="313">
        <f>AVERAGE(G$26:G63)</f>
        <v>0.99348099011169644</v>
      </c>
      <c r="H146" s="313">
        <f>AVERAGE(H$26:H63)</f>
        <v>0.99367747332778089</v>
      </c>
      <c r="I146" s="313">
        <f>AVERAGE(I$26:I63)</f>
        <v>0.99377594636733735</v>
      </c>
      <c r="J146" s="313">
        <f>AVERAGE(J$26:J63)</f>
        <v>0.99440093181717337</v>
      </c>
      <c r="K146" s="313">
        <f>AVERAGE(K$26:K63)</f>
        <v>0.99369631118381496</v>
      </c>
      <c r="L146" s="313">
        <f>AVERAGE(L$26:L63)</f>
        <v>0.99472890354909671</v>
      </c>
      <c r="M146" s="313">
        <f>AVERAGE(M$26:M63)</f>
        <v>0.99394391113127534</v>
      </c>
      <c r="N146" s="314">
        <f>AVERAGE(N$26:N63)</f>
        <v>0.99400737264345762</v>
      </c>
      <c r="X146" t="s">
        <v>384</v>
      </c>
      <c r="Y146" s="292">
        <v>0.99821349999999998</v>
      </c>
      <c r="Z146">
        <f t="shared" si="56"/>
        <v>2</v>
      </c>
    </row>
    <row r="147" spans="1:26" x14ac:dyDescent="0.25">
      <c r="A147" s="299">
        <v>2040</v>
      </c>
      <c r="B147" s="313">
        <f>AVERAGE(B$26:B64)</f>
        <v>0.9939844080296647</v>
      </c>
      <c r="C147" s="313">
        <f>AVERAGE(C$26:C64)</f>
        <v>0.99405747152162915</v>
      </c>
      <c r="D147" s="313">
        <f>AVERAGE(D$26:D64)</f>
        <v>0.993912627786674</v>
      </c>
      <c r="E147" s="313">
        <f>AVERAGE(E$26:E64)</f>
        <v>0.99431664375365536</v>
      </c>
      <c r="F147" s="313">
        <f>AVERAGE(F$26:F64)</f>
        <v>0.99395555541015967</v>
      </c>
      <c r="G147" s="313">
        <f>AVERAGE(G$26:G64)</f>
        <v>0.99343181683982495</v>
      </c>
      <c r="H147" s="313">
        <f>AVERAGE(H$26:H64)</f>
        <v>0.99363308462454347</v>
      </c>
      <c r="I147" s="313">
        <f>AVERAGE(I$26:I64)</f>
        <v>0.99373343370157019</v>
      </c>
      <c r="J147" s="313">
        <f>AVERAGE(J$26:J64)</f>
        <v>0.99436182828244446</v>
      </c>
      <c r="K147" s="313">
        <f>AVERAGE(K$26:K64)</f>
        <v>0.99364540800526246</v>
      </c>
      <c r="L147" s="313">
        <f>AVERAGE(L$26:L64)</f>
        <v>0.99469108722526689</v>
      </c>
      <c r="M147" s="313">
        <f>AVERAGE(M$26:M64)</f>
        <v>0.9938972318084538</v>
      </c>
      <c r="N147" s="314">
        <f>AVERAGE(N$26:N64)</f>
        <v>0.99396501816721206</v>
      </c>
      <c r="X147" t="s">
        <v>385</v>
      </c>
      <c r="Y147" s="292">
        <v>0.99827999999999995</v>
      </c>
      <c r="Z147">
        <f t="shared" si="56"/>
        <v>2</v>
      </c>
    </row>
    <row r="148" spans="1:26" x14ac:dyDescent="0.25">
      <c r="A148" s="299">
        <v>2041</v>
      </c>
      <c r="B148" s="313">
        <f>AVERAGE(B$26:B65)</f>
        <v>0.9939434136271863</v>
      </c>
      <c r="C148" s="313">
        <f>AVERAGE(C$26:C65)</f>
        <v>0.99401780334375223</v>
      </c>
      <c r="D148" s="313">
        <f>AVERAGE(D$26:D65)</f>
        <v>0.99387166777323299</v>
      </c>
      <c r="E148" s="313">
        <f>AVERAGE(E$26:E65)</f>
        <v>0.99428042780094317</v>
      </c>
      <c r="F148" s="313">
        <f>AVERAGE(F$26:F65)</f>
        <v>0.9939159556276721</v>
      </c>
      <c r="G148" s="313">
        <f>AVERAGE(G$26:G65)</f>
        <v>0.99338406875709673</v>
      </c>
      <c r="H148" s="313">
        <f>AVERAGE(H$26:H65)</f>
        <v>0.99358998243927643</v>
      </c>
      <c r="I148" s="313">
        <f>AVERAGE(I$26:I65)</f>
        <v>0.9936921531805718</v>
      </c>
      <c r="J148" s="313">
        <f>AVERAGE(J$26:J65)</f>
        <v>0.99432388751225997</v>
      </c>
      <c r="K148" s="313">
        <f>AVERAGE(K$26:K65)</f>
        <v>0.99359601845998213</v>
      </c>
      <c r="L148" s="313">
        <f>AVERAGE(L$26:L65)</f>
        <v>0.99465439539007627</v>
      </c>
      <c r="M148" s="313">
        <f>AVERAGE(M$26:M65)</f>
        <v>0.99385194052029247</v>
      </c>
      <c r="N148" s="314">
        <f>AVERAGE(N$26:N65)</f>
        <v>0.99392388148002264</v>
      </c>
      <c r="X148" t="s">
        <v>386</v>
      </c>
      <c r="Y148" s="292">
        <v>0.99664569999999997</v>
      </c>
      <c r="Z148">
        <f t="shared" si="56"/>
        <v>4</v>
      </c>
    </row>
    <row r="149" spans="1:26" x14ac:dyDescent="0.25">
      <c r="A149" s="299">
        <v>2042</v>
      </c>
      <c r="B149" s="313">
        <f>AVERAGE(B$26:B66)</f>
        <v>0.99390357803974794</v>
      </c>
      <c r="C149" s="313">
        <f>AVERAGE(C$26:C66)</f>
        <v>0.99397925649167473</v>
      </c>
      <c r="D149" s="313">
        <f>AVERAGE(D$26:D66)</f>
        <v>0.99383186560273495</v>
      </c>
      <c r="E149" s="313">
        <f>AVERAGE(E$26:E66)</f>
        <v>0.99424523558776978</v>
      </c>
      <c r="F149" s="313">
        <f>AVERAGE(F$26:F66)</f>
        <v>0.9938774752376075</v>
      </c>
      <c r="G149" s="313">
        <f>AVERAGE(G$26:G66)</f>
        <v>0.99333767040001497</v>
      </c>
      <c r="H149" s="313">
        <f>AVERAGE(H$26:H66)</f>
        <v>0.99354809865109606</v>
      </c>
      <c r="I149" s="313">
        <f>AVERAGE(I$26:I66)</f>
        <v>0.99365203956250869</v>
      </c>
      <c r="J149" s="313">
        <f>AVERAGE(J$26:J66)</f>
        <v>0.99428704637957543</v>
      </c>
      <c r="K149" s="313">
        <f>AVERAGE(K$26:K66)</f>
        <v>0.99354806037209809</v>
      </c>
      <c r="L149" s="313">
        <f>AVERAGE(L$26:L66)</f>
        <v>0.99461876699449747</v>
      </c>
      <c r="M149" s="313">
        <f>AVERAGE(M$26:M66)</f>
        <v>0.99380796190972431</v>
      </c>
      <c r="N149" s="314">
        <f>AVERAGE(N$26:N66)</f>
        <v>0.99388389878807926</v>
      </c>
      <c r="X149" t="s">
        <v>387</v>
      </c>
      <c r="Y149" s="292">
        <v>0.99575530000000001</v>
      </c>
      <c r="Z149">
        <f t="shared" si="56"/>
        <v>5</v>
      </c>
    </row>
    <row r="150" spans="1:26" x14ac:dyDescent="0.25">
      <c r="A150" s="299">
        <v>2043</v>
      </c>
      <c r="B150" s="313">
        <f>AVERAGE(B$26:B67)</f>
        <v>0.99386484138696163</v>
      </c>
      <c r="C150" s="313">
        <f>AVERAGE(C$26:C67)</f>
        <v>0.99394177302222075</v>
      </c>
      <c r="D150" s="313">
        <f>AVERAGE(D$26:D67)</f>
        <v>0.99379316144502405</v>
      </c>
      <c r="E150" s="313">
        <f>AVERAGE(E$26:E67)</f>
        <v>0.99421101421361324</v>
      </c>
      <c r="F150" s="313">
        <f>AVERAGE(F$26:F67)</f>
        <v>0.99384005639669526</v>
      </c>
      <c r="G150" s="313">
        <f>AVERAGE(G$26:G67)</f>
        <v>0.99329255202311395</v>
      </c>
      <c r="H150" s="313">
        <f>AVERAGE(H$26:H67)</f>
        <v>0.99350737030078284</v>
      </c>
      <c r="I150" s="313">
        <f>AVERAGE(I$26:I67)</f>
        <v>0.99361303254906108</v>
      </c>
      <c r="J150" s="313">
        <f>AVERAGE(J$26:J67)</f>
        <v>0.99425124665879261</v>
      </c>
      <c r="K150" s="313">
        <f>AVERAGE(K$26:K67)</f>
        <v>0.99350145794621092</v>
      </c>
      <c r="L150" s="313">
        <f>AVERAGE(L$26:L67)</f>
        <v>0.99458414572960352</v>
      </c>
      <c r="M150" s="313">
        <f>AVERAGE(M$26:M67)</f>
        <v>0.99376522647071808</v>
      </c>
      <c r="N150" s="314">
        <f>AVERAGE(N$26:N67)</f>
        <v>0.99384501107180956</v>
      </c>
      <c r="X150" t="s">
        <v>388</v>
      </c>
      <c r="Y150" s="292">
        <v>0.99460999999999999</v>
      </c>
      <c r="Z150">
        <f t="shared" si="56"/>
        <v>6</v>
      </c>
    </row>
    <row r="151" spans="1:26" x14ac:dyDescent="0.25">
      <c r="A151" s="299">
        <v>2044</v>
      </c>
      <c r="B151" s="313">
        <f>AVERAGE(B$26:B68)</f>
        <v>0.99382714821889084</v>
      </c>
      <c r="C151" s="313">
        <f>AVERAGE(C$26:C68)</f>
        <v>0.99390529927933424</v>
      </c>
      <c r="D151" s="313">
        <f>AVERAGE(D$26:D68)</f>
        <v>0.99375549989667888</v>
      </c>
      <c r="E151" s="313">
        <f>AVERAGE(E$26:E68)</f>
        <v>0.99417771469197369</v>
      </c>
      <c r="F151" s="313">
        <f>AVERAGE(F$26:F68)</f>
        <v>0.99380364554139222</v>
      </c>
      <c r="G151" s="313">
        <f>AVERAGE(G$26:G68)</f>
        <v>0.99324864904127907</v>
      </c>
      <c r="H151" s="313">
        <f>AVERAGE(H$26:H68)</f>
        <v>0.99346773908736663</v>
      </c>
      <c r="I151" s="313">
        <f>AVERAGE(I$26:I68)</f>
        <v>0.99357507630328168</v>
      </c>
      <c r="J151" s="313">
        <f>AVERAGE(J$26:J68)</f>
        <v>0.99421643453619113</v>
      </c>
      <c r="K151" s="313">
        <f>AVERAGE(K$26:K68)</f>
        <v>0.99345614113010072</v>
      </c>
      <c r="L151" s="313">
        <f>AVERAGE(L$26:L68)</f>
        <v>0.99455047955311537</v>
      </c>
      <c r="M151" s="313">
        <f>AVERAGE(M$26:M68)</f>
        <v>0.99372366996386341</v>
      </c>
      <c r="N151" s="314">
        <f>AVERAGE(N$26:N68)</f>
        <v>0.99380716362652266</v>
      </c>
      <c r="X151" t="s">
        <v>389</v>
      </c>
      <c r="Y151" s="292">
        <v>0.99212135000000001</v>
      </c>
      <c r="Z151">
        <f t="shared" si="56"/>
        <v>8</v>
      </c>
    </row>
    <row r="152" spans="1:26" x14ac:dyDescent="0.25">
      <c r="A152" s="299">
        <v>2045</v>
      </c>
      <c r="B152" s="313">
        <f>AVERAGE(B$26:B69)</f>
        <v>0.99379044709389064</v>
      </c>
      <c r="C152" s="313">
        <f>AVERAGE(C$26:C69)</f>
        <v>0.99386978548557781</v>
      </c>
      <c r="D152" s="313">
        <f>AVERAGE(D$26:D69)</f>
        <v>0.99371882955920787</v>
      </c>
      <c r="E152" s="313">
        <f>AVERAGE(E$26:E69)</f>
        <v>0.99414529157742315</v>
      </c>
      <c r="F152" s="313">
        <f>AVERAGE(F$26:F69)</f>
        <v>0.99376819298008667</v>
      </c>
      <c r="G152" s="313">
        <f>AVERAGE(G$26:G69)</f>
        <v>0.99320590153804</v>
      </c>
      <c r="H152" s="313">
        <f>AVERAGE(H$26:H69)</f>
        <v>0.99342915092426087</v>
      </c>
      <c r="I152" s="313">
        <f>AVERAGE(I$26:I69)</f>
        <v>0.99353811902449141</v>
      </c>
      <c r="J152" s="313">
        <f>AVERAGE(J$26:J69)</f>
        <v>0.99418256017963891</v>
      </c>
      <c r="K152" s="313">
        <f>AVERAGE(K$26:K69)</f>
        <v>0.99341204505459557</v>
      </c>
      <c r="L152" s="313">
        <f>AVERAGE(L$26:L69)</f>
        <v>0.99451772027327567</v>
      </c>
      <c r="M152" s="313">
        <f>AVERAGE(M$26:M69)</f>
        <v>0.99368323290271721</v>
      </c>
      <c r="N152" s="314">
        <f>AVERAGE(N$26:N69)</f>
        <v>0.99377030565661106</v>
      </c>
      <c r="X152" t="s">
        <v>390</v>
      </c>
      <c r="Y152" s="292">
        <v>0.99813929999999995</v>
      </c>
      <c r="Z152">
        <f t="shared" si="56"/>
        <v>2</v>
      </c>
    </row>
    <row r="153" spans="1:26" x14ac:dyDescent="0.25">
      <c r="A153" s="299">
        <v>2046</v>
      </c>
      <c r="B153" s="313">
        <f>AVERAGE(B$26:B70)</f>
        <v>0.9937546902052663</v>
      </c>
      <c r="C153" s="313">
        <f>AVERAGE(C$26:C70)</f>
        <v>0.9938351853808679</v>
      </c>
      <c r="D153" s="313">
        <f>AVERAGE(D$26:D70)</f>
        <v>0.99368310266601967</v>
      </c>
      <c r="E153" s="313">
        <f>AVERAGE(E$26:E70)</f>
        <v>0.9941137026357808</v>
      </c>
      <c r="F153" s="313">
        <f>AVERAGE(F$26:F70)</f>
        <v>0.99373365253245605</v>
      </c>
      <c r="G153" s="313">
        <f>AVERAGE(G$26:G70)</f>
        <v>0.99316425383072093</v>
      </c>
      <c r="H153" s="313">
        <f>AVERAGE(H$26:H70)</f>
        <v>0.99339155554672454</v>
      </c>
      <c r="I153" s="313">
        <f>AVERAGE(I$26:I70)</f>
        <v>0.99350211257233068</v>
      </c>
      <c r="J153" s="313">
        <f>AVERAGE(J$26:J70)</f>
        <v>0.99414957735920373</v>
      </c>
      <c r="K153" s="313">
        <f>AVERAGE(K$26:K70)</f>
        <v>0.99336910953970115</v>
      </c>
      <c r="L153" s="313">
        <f>AVERAGE(L$26:L70)</f>
        <v>0.99448582318195022</v>
      </c>
      <c r="M153" s="313">
        <f>AVERAGE(M$26:M70)</f>
        <v>0.99364386010091466</v>
      </c>
      <c r="N153" s="314">
        <f>AVERAGE(N$26:N70)</f>
        <v>0.99373438991602814</v>
      </c>
      <c r="X153" t="s">
        <v>391</v>
      </c>
      <c r="Y153" s="292">
        <v>0.9972394</v>
      </c>
      <c r="Z153">
        <f t="shared" si="56"/>
        <v>3</v>
      </c>
    </row>
    <row r="154" spans="1:26" x14ac:dyDescent="0.25">
      <c r="A154" s="299">
        <v>2047</v>
      </c>
      <c r="B154" s="313">
        <f>AVERAGE(B$26:B71)</f>
        <v>0.99371983305015021</v>
      </c>
      <c r="C154" s="313">
        <f>AVERAGE(C$26:C71)</f>
        <v>0.99380145590206515</v>
      </c>
      <c r="D154" s="313">
        <f>AVERAGE(D$26:D71)</f>
        <v>0.99364827475157891</v>
      </c>
      <c r="E154" s="313">
        <f>AVERAGE(E$26:E71)</f>
        <v>0.99408290855158776</v>
      </c>
      <c r="F154" s="313">
        <f>AVERAGE(F$26:F71)</f>
        <v>0.99369998120961012</v>
      </c>
      <c r="G154" s="313">
        <f>AVERAGE(G$26:G71)</f>
        <v>0.99312365408476722</v>
      </c>
      <c r="H154" s="313">
        <f>AVERAGE(H$26:H71)</f>
        <v>0.99335490616371469</v>
      </c>
      <c r="I154" s="313">
        <f>AVERAGE(I$26:I71)</f>
        <v>0.99346701213332633</v>
      </c>
      <c r="J154" s="313">
        <f>AVERAGE(J$26:J71)</f>
        <v>0.99411744311163441</v>
      </c>
      <c r="K154" s="313">
        <f>AVERAGE(K$26:K71)</f>
        <v>0.99332727865783832</v>
      </c>
      <c r="L154" s="313">
        <f>AVERAGE(L$26:L71)</f>
        <v>0.99445474673015311</v>
      </c>
      <c r="M154" s="313">
        <f>AVERAGE(M$26:M71)</f>
        <v>0.99360550027164851</v>
      </c>
      <c r="N154" s="314">
        <f>AVERAGE(N$26:N71)</f>
        <v>0.99369937238887673</v>
      </c>
      <c r="X154" t="s">
        <v>392</v>
      </c>
      <c r="Y154" s="293">
        <v>0.99882800000000005</v>
      </c>
      <c r="Z154">
        <f t="shared" si="56"/>
        <v>2</v>
      </c>
    </row>
    <row r="155" spans="1:26" x14ac:dyDescent="0.25">
      <c r="A155" s="299">
        <v>2048</v>
      </c>
      <c r="B155" s="313">
        <f>AVERAGE(B$26:B72)</f>
        <v>0.9936858341350211</v>
      </c>
      <c r="C155" s="313">
        <f>AVERAGE(C$26:C72)</f>
        <v>0.99376855689802013</v>
      </c>
      <c r="D155" s="313">
        <f>AVERAGE(D$26:D72)</f>
        <v>0.99361430435717191</v>
      </c>
      <c r="E155" s="313">
        <f>AVERAGE(E$26:E72)</f>
        <v>0.9940528726679515</v>
      </c>
      <c r="F155" s="313">
        <f>AVERAGE(F$26:F72)</f>
        <v>0.99366713892962732</v>
      </c>
      <c r="G155" s="313">
        <f>AVERAGE(G$26:G72)</f>
        <v>0.99308405397074884</v>
      </c>
      <c r="H155" s="313">
        <f>AVERAGE(H$26:H72)</f>
        <v>0.99331915914826441</v>
      </c>
      <c r="I155" s="313">
        <f>AVERAGE(I$26:I72)</f>
        <v>0.99343277592435486</v>
      </c>
      <c r="J155" s="313">
        <f>AVERAGE(J$26:J72)</f>
        <v>0.99408611744278719</v>
      </c>
      <c r="K155" s="313">
        <f>AVERAGE(K$26:K72)</f>
        <v>0.99328650034647448</v>
      </c>
      <c r="L155" s="313">
        <f>AVERAGE(L$26:L72)</f>
        <v>0.99442445224026821</v>
      </c>
      <c r="M155" s="313">
        <f>AVERAGE(M$26:M72)</f>
        <v>0.9935681056724428</v>
      </c>
      <c r="N155" s="314">
        <f>AVERAGE(N$26:N72)</f>
        <v>0.99366521200488478</v>
      </c>
      <c r="X155" t="s">
        <v>393</v>
      </c>
      <c r="Y155" s="292">
        <v>0.99668970000000001</v>
      </c>
      <c r="Z155">
        <f t="shared" si="56"/>
        <v>4</v>
      </c>
    </row>
    <row r="156" spans="1:26" x14ac:dyDescent="0.25">
      <c r="A156" s="299">
        <v>2049</v>
      </c>
      <c r="B156" s="313">
        <f>AVERAGE(B$26:B73)</f>
        <v>0.99365265471312025</v>
      </c>
      <c r="C156" s="313">
        <f>AVERAGE(C$26:C73)</f>
        <v>0.99373645087548435</v>
      </c>
      <c r="D156" s="313">
        <f>AVERAGE(D$26:D73)</f>
        <v>0.99358115276854386</v>
      </c>
      <c r="E156" s="313">
        <f>AVERAGE(E$26:E73)</f>
        <v>0.99402356075456988</v>
      </c>
      <c r="F156" s="313">
        <f>AVERAGE(F$26:F73)</f>
        <v>0.99363508826390479</v>
      </c>
      <c r="G156" s="313">
        <f>AVERAGE(G$26:G73)</f>
        <v>0.99304540835851862</v>
      </c>
      <c r="H156" s="313">
        <f>AVERAGE(H$26:H73)</f>
        <v>0.99328427376139805</v>
      </c>
      <c r="I156" s="313">
        <f>AVERAGE(I$26:I73)</f>
        <v>0.99339936492822656</v>
      </c>
      <c r="J156" s="313">
        <f>AVERAGE(J$26:J73)</f>
        <v>0.99405556306297727</v>
      </c>
      <c r="K156" s="313">
        <f>AVERAGE(K$26:K73)</f>
        <v>0.99324672606361764</v>
      </c>
      <c r="L156" s="313">
        <f>AVERAGE(L$26:L73)</f>
        <v>0.99439490365011374</v>
      </c>
      <c r="M156" s="313">
        <f>AVERAGE(M$26:M73)</f>
        <v>0.99353163178923432</v>
      </c>
      <c r="N156" s="314">
        <f>AVERAGE(N$26:N73)</f>
        <v>0.99363187038531231</v>
      </c>
      <c r="X156" t="s">
        <v>394</v>
      </c>
      <c r="Y156" s="292">
        <v>0.99821349999999998</v>
      </c>
      <c r="Z156">
        <f t="shared" ref="Z156:Z162" si="57">IF(Y156&gt;0.999,1,IF(Y156&gt;0.998,2,IF(Y156&gt;0.997,3,IF(Y156&gt;0.996,4,IF(Y156&gt;0.995,5,IF(Y156&gt;0.994,6,IF(Y156&gt;0.993,7,IF(Y154&gt;0.992,8,9))))))))</f>
        <v>2</v>
      </c>
    </row>
    <row r="157" spans="1:26" ht="15.75" thickBot="1" x14ac:dyDescent="0.3">
      <c r="A157" s="309">
        <v>2050</v>
      </c>
      <c r="B157" s="315">
        <f>AVERAGE(B$26:B74)</f>
        <v>0.99362025854972646</v>
      </c>
      <c r="C157" s="315">
        <f>AVERAGE(C$26:C74)</f>
        <v>0.99370510277197888</v>
      </c>
      <c r="D157" s="315">
        <f>AVERAGE(D$26:D74)</f>
        <v>0.99354878378136924</v>
      </c>
      <c r="E157" s="315">
        <f>AVERAGE(E$26:E74)</f>
        <v>0.99399494080036643</v>
      </c>
      <c r="F157" s="315">
        <f>AVERAGE(F$26:F74)</f>
        <v>0.99360379421041767</v>
      </c>
      <c r="G157" s="315">
        <f>AVERAGE(G$26:G74)</f>
        <v>0.99300767504381482</v>
      </c>
      <c r="H157" s="315">
        <f>AVERAGE(H$26:H74)</f>
        <v>0.99325021190533669</v>
      </c>
      <c r="I157" s="315">
        <f>AVERAGE(I$26:I74)</f>
        <v>0.99336674265732128</v>
      </c>
      <c r="J157" s="315">
        <f>AVERAGE(J$26:J74)</f>
        <v>0.99402574515100062</v>
      </c>
      <c r="K157" s="315">
        <f>AVERAGE(K$26:K74)</f>
        <v>0.9932079104806294</v>
      </c>
      <c r="L157" s="315">
        <f>AVERAGE(L$26:L74)</f>
        <v>0.99436606728473009</v>
      </c>
      <c r="M157" s="315">
        <f>AVERAGE(M$26:M74)</f>
        <v>0.99349603705467471</v>
      </c>
      <c r="N157" s="316">
        <f>AVERAGE(N$26:N74)</f>
        <v>0.99359931161548598</v>
      </c>
      <c r="X157" t="s">
        <v>395</v>
      </c>
      <c r="Y157" s="293">
        <v>0.9990772</v>
      </c>
      <c r="Z157">
        <f t="shared" si="57"/>
        <v>1</v>
      </c>
    </row>
    <row r="158" spans="1:26" x14ac:dyDescent="0.25"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X158" t="s">
        <v>396</v>
      </c>
      <c r="Y158" s="292">
        <v>0.99664569999999997</v>
      </c>
      <c r="Z158">
        <f t="shared" si="57"/>
        <v>4</v>
      </c>
    </row>
    <row r="159" spans="1:26" x14ac:dyDescent="0.25"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X159" t="s">
        <v>397</v>
      </c>
      <c r="Y159" s="292">
        <v>0.99575530000000001</v>
      </c>
      <c r="Z159">
        <f t="shared" si="57"/>
        <v>5</v>
      </c>
    </row>
    <row r="160" spans="1:26" x14ac:dyDescent="0.25">
      <c r="B160" s="149">
        <v>0.99452099999999999</v>
      </c>
      <c r="C160" t="s">
        <v>203</v>
      </c>
      <c r="X160" t="s">
        <v>398</v>
      </c>
      <c r="Y160" s="292">
        <v>0.99364160000000001</v>
      </c>
      <c r="Z160">
        <f t="shared" si="57"/>
        <v>7</v>
      </c>
    </row>
    <row r="161" spans="1:26" x14ac:dyDescent="0.25">
      <c r="X161" t="s">
        <v>399</v>
      </c>
      <c r="Y161" s="292">
        <v>0.99053314000000003</v>
      </c>
      <c r="Z161">
        <f t="shared" si="57"/>
        <v>8</v>
      </c>
    </row>
    <row r="162" spans="1:26" x14ac:dyDescent="0.25">
      <c r="B162" s="150">
        <v>0.99827999999999995</v>
      </c>
      <c r="C162" t="s">
        <v>204</v>
      </c>
      <c r="X162" t="s">
        <v>400</v>
      </c>
      <c r="Y162" s="292">
        <v>0.99813929999999995</v>
      </c>
      <c r="Z162">
        <f t="shared" si="57"/>
        <v>2</v>
      </c>
    </row>
    <row r="163" spans="1:26" x14ac:dyDescent="0.25">
      <c r="X163" t="s">
        <v>401</v>
      </c>
    </row>
    <row r="164" spans="1:26" x14ac:dyDescent="0.25">
      <c r="B164">
        <f>720</f>
        <v>720</v>
      </c>
      <c r="X164" t="s">
        <v>402</v>
      </c>
    </row>
    <row r="165" spans="1:26" x14ac:dyDescent="0.25">
      <c r="X165" t="s">
        <v>403</v>
      </c>
    </row>
    <row r="166" spans="1:26" x14ac:dyDescent="0.25">
      <c r="B166">
        <f>B162*B164</f>
        <v>718.76159999999993</v>
      </c>
      <c r="X166" t="s">
        <v>404</v>
      </c>
    </row>
    <row r="167" spans="1:26" x14ac:dyDescent="0.25">
      <c r="X167" t="s">
        <v>405</v>
      </c>
    </row>
    <row r="168" spans="1:26" x14ac:dyDescent="0.25">
      <c r="A168" t="s">
        <v>223</v>
      </c>
      <c r="B168">
        <f>B164-B166</f>
        <v>1.2384000000000697</v>
      </c>
      <c r="O168" t="s">
        <v>212</v>
      </c>
      <c r="P168">
        <f>AVERAGE(P26:P36)</f>
        <v>33.290609749999888</v>
      </c>
      <c r="X168" t="s">
        <v>406</v>
      </c>
    </row>
    <row r="169" spans="1:26" x14ac:dyDescent="0.25">
      <c r="O169" t="s">
        <v>215</v>
      </c>
      <c r="P169" s="217">
        <f>_xlfn.STDEV.P(P26,P27,P28,P29,P30,P31,P32,P33,P34,P35,P36)</f>
        <v>18.274093195215617</v>
      </c>
      <c r="Y169" s="292"/>
    </row>
    <row r="170" spans="1:26" x14ac:dyDescent="0.25">
      <c r="A170" t="s">
        <v>224</v>
      </c>
      <c r="B170">
        <f>B168*12</f>
        <v>14.860800000000836</v>
      </c>
      <c r="O170" t="s">
        <v>216</v>
      </c>
      <c r="Y170" s="292"/>
    </row>
  </sheetData>
  <autoFilter ref="X27:Y168"/>
  <customSheetViews>
    <customSheetView guid="{4855CA7E-D0E4-4BAE-B28F-C7B8E2548C7E}">
      <selection activeCell="A15" sqref="A15:XFD15"/>
      <pageMargins left="0.7" right="0.7" top="0.75" bottom="0.75" header="0.3" footer="0.3"/>
    </customSheetView>
    <customSheetView guid="{8877400E-0ED9-40F2-B6D2-591D7CFEBFC1}">
      <pageMargins left="0.7" right="0.7" top="0.75" bottom="0.75" header="0.3" footer="0.3"/>
    </customSheetView>
  </customSheetViews>
  <mergeCells count="3">
    <mergeCell ref="A22:B22"/>
    <mergeCell ref="A77:N77"/>
    <mergeCell ref="A118:N118"/>
  </mergeCells>
  <conditionalFormatting sqref="O24:S25">
    <cfRule type="cellIs" dxfId="12" priority="18" operator="greaterThan">
      <formula>$D$22</formula>
    </cfRule>
  </conditionalFormatting>
  <conditionalFormatting sqref="O25:S25">
    <cfRule type="cellIs" dxfId="11" priority="19" operator="greaterThan">
      <formula>$B$162</formula>
    </cfRule>
  </conditionalFormatting>
  <conditionalFormatting sqref="M25 Y169:Y170 Y133:Y162">
    <cfRule type="cellIs" dxfId="10" priority="14" operator="greaterThan">
      <formula>$G$22</formula>
    </cfRule>
  </conditionalFormatting>
  <conditionalFormatting sqref="B26:N76">
    <cfRule type="cellIs" dxfId="9" priority="13" operator="greaterThan">
      <formula>$G$22</formula>
    </cfRule>
  </conditionalFormatting>
  <conditionalFormatting sqref="Y27:Y38">
    <cfRule type="cellIs" dxfId="8" priority="12" operator="greaterThan">
      <formula>$G$22</formula>
    </cfRule>
  </conditionalFormatting>
  <conditionalFormatting sqref="Y39:Y50">
    <cfRule type="cellIs" dxfId="7" priority="11" operator="greaterThan">
      <formula>$G$22</formula>
    </cfRule>
  </conditionalFormatting>
  <conditionalFormatting sqref="Y51:Y62">
    <cfRule type="cellIs" dxfId="6" priority="10" operator="greaterThan">
      <formula>$G$22</formula>
    </cfRule>
  </conditionalFormatting>
  <conditionalFormatting sqref="Y63:Y74">
    <cfRule type="cellIs" dxfId="5" priority="9" operator="greaterThan">
      <formula>$G$22</formula>
    </cfRule>
  </conditionalFormatting>
  <conditionalFormatting sqref="Y75:Y86">
    <cfRule type="cellIs" dxfId="4" priority="8" operator="greaterThan">
      <formula>$G$22</formula>
    </cfRule>
  </conditionalFormatting>
  <conditionalFormatting sqref="Y87:Y98">
    <cfRule type="cellIs" dxfId="3" priority="7" operator="greaterThan">
      <formula>$G$22</formula>
    </cfRule>
  </conditionalFormatting>
  <conditionalFormatting sqref="Y99:Y110">
    <cfRule type="cellIs" dxfId="2" priority="6" operator="greaterThan">
      <formula>$G$22</formula>
    </cfRule>
  </conditionalFormatting>
  <conditionalFormatting sqref="Y111:Y122">
    <cfRule type="cellIs" dxfId="1" priority="5" operator="greaterThan">
      <formula>$G$22</formula>
    </cfRule>
  </conditionalFormatting>
  <conditionalFormatting sqref="Y123:Y132">
    <cfRule type="cellIs" dxfId="0" priority="4" operator="greaterThan">
      <formula>$G$22</formula>
    </cfRule>
  </conditionalFormatting>
  <pageMargins left="0.7" right="0.7" top="0.75" bottom="0.75" header="0.3" footer="0.3"/>
  <pageSetup scale="58" orientation="landscape" r:id="rId1"/>
  <headerFooter>
    <oddHeader>&amp;C&amp;F-&amp;A-&amp;P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56"/>
  <sheetViews>
    <sheetView topLeftCell="A40" workbookViewId="0">
      <selection activeCell="A9" sqref="A9"/>
    </sheetView>
  </sheetViews>
  <sheetFormatPr baseColWidth="10" defaultRowHeight="15" x14ac:dyDescent="0.25"/>
  <cols>
    <col min="1" max="1" width="39.28515625" style="453" bestFit="1" customWidth="1"/>
    <col min="2" max="2" width="13.28515625" style="453" bestFit="1" customWidth="1"/>
    <col min="4" max="4" width="13.7109375" bestFit="1" customWidth="1"/>
    <col min="5" max="5" width="17.85546875" bestFit="1" customWidth="1"/>
  </cols>
  <sheetData>
    <row r="1" spans="1:5" x14ac:dyDescent="0.25">
      <c r="A1" s="633" t="s">
        <v>85</v>
      </c>
    </row>
    <row r="2" spans="1:5" ht="26.25" customHeight="1" thickBot="1" x14ac:dyDescent="0.3">
      <c r="A2" s="432" t="s">
        <v>720</v>
      </c>
      <c r="B2" s="433"/>
    </row>
    <row r="3" spans="1:5" ht="16.5" customHeight="1" thickBot="1" x14ac:dyDescent="0.3">
      <c r="A3" s="51" t="s">
        <v>42</v>
      </c>
      <c r="B3" s="235">
        <f>+B4+B21+B25+B39+B45+B47+B51+B53+B55</f>
        <v>34200000000</v>
      </c>
      <c r="D3" s="33">
        <v>58938086235.599998</v>
      </c>
      <c r="E3" s="375">
        <f>D3/B3</f>
        <v>1.7233358548421052</v>
      </c>
    </row>
    <row r="4" spans="1:5" ht="15.75" thickBot="1" x14ac:dyDescent="0.3">
      <c r="A4" s="56" t="s">
        <v>43</v>
      </c>
      <c r="B4" s="52">
        <f>SUM(B5:B20)</f>
        <v>21382216833</v>
      </c>
    </row>
    <row r="5" spans="1:5" ht="15.75" thickBot="1" x14ac:dyDescent="0.3">
      <c r="A5" s="57" t="s">
        <v>588</v>
      </c>
      <c r="B5" s="53">
        <f>900000000-8070246</f>
        <v>891929754</v>
      </c>
    </row>
    <row r="6" spans="1:5" ht="15.75" thickBot="1" x14ac:dyDescent="0.3">
      <c r="A6" s="57" t="s">
        <v>44</v>
      </c>
      <c r="B6" s="53">
        <v>6520000352</v>
      </c>
    </row>
    <row r="7" spans="1:5" ht="15.75" thickBot="1" x14ac:dyDescent="0.3">
      <c r="A7" s="57" t="s">
        <v>45</v>
      </c>
      <c r="B7" s="53">
        <v>4000000000</v>
      </c>
    </row>
    <row r="8" spans="1:5" ht="15.75" thickBot="1" x14ac:dyDescent="0.3">
      <c r="A8" s="57" t="s">
        <v>589</v>
      </c>
      <c r="B8" s="53">
        <v>4500000000</v>
      </c>
    </row>
    <row r="9" spans="1:5" ht="15.75" thickBot="1" x14ac:dyDescent="0.3">
      <c r="A9" s="57" t="s">
        <v>46</v>
      </c>
      <c r="B9" s="53">
        <v>482720957</v>
      </c>
    </row>
    <row r="10" spans="1:5" ht="15.75" thickBot="1" x14ac:dyDescent="0.3">
      <c r="A10" s="57" t="s">
        <v>47</v>
      </c>
      <c r="B10" s="53">
        <v>295774701</v>
      </c>
    </row>
    <row r="11" spans="1:5" ht="15.75" thickBot="1" x14ac:dyDescent="0.3">
      <c r="A11" s="57" t="s">
        <v>48</v>
      </c>
      <c r="B11" s="53">
        <v>669220853</v>
      </c>
    </row>
    <row r="12" spans="1:5" ht="15.75" thickBot="1" x14ac:dyDescent="0.3">
      <c r="A12" s="57" t="s">
        <v>49</v>
      </c>
      <c r="B12" s="53">
        <v>515407657</v>
      </c>
    </row>
    <row r="13" spans="1:5" ht="15.75" thickBot="1" x14ac:dyDescent="0.3">
      <c r="A13" s="57" t="s">
        <v>50</v>
      </c>
      <c r="B13" s="53">
        <v>109669583</v>
      </c>
    </row>
    <row r="14" spans="1:5" ht="15.75" thickBot="1" x14ac:dyDescent="0.3">
      <c r="A14" s="57" t="s">
        <v>51</v>
      </c>
      <c r="B14" s="53">
        <v>354920689</v>
      </c>
    </row>
    <row r="15" spans="1:5" ht="15.75" thickBot="1" x14ac:dyDescent="0.3">
      <c r="A15" s="57" t="s">
        <v>590</v>
      </c>
      <c r="B15" s="53">
        <v>55456849</v>
      </c>
    </row>
    <row r="16" spans="1:5" ht="15.75" thickBot="1" x14ac:dyDescent="0.3">
      <c r="A16" s="57" t="s">
        <v>591</v>
      </c>
      <c r="B16" s="53">
        <v>200000000</v>
      </c>
    </row>
    <row r="17" spans="1:2" ht="15.75" thickBot="1" x14ac:dyDescent="0.3">
      <c r="A17" s="57" t="s">
        <v>52</v>
      </c>
      <c r="B17" s="53">
        <v>546838</v>
      </c>
    </row>
    <row r="18" spans="1:2" ht="15.75" thickBot="1" x14ac:dyDescent="0.3">
      <c r="A18" s="57" t="s">
        <v>592</v>
      </c>
      <c r="B18" s="53">
        <v>1500000000</v>
      </c>
    </row>
    <row r="19" spans="1:2" ht="15.75" thickBot="1" x14ac:dyDescent="0.3">
      <c r="A19" s="57" t="s">
        <v>53</v>
      </c>
      <c r="B19" s="53">
        <v>866659983</v>
      </c>
    </row>
    <row r="20" spans="1:2" ht="15.75" thickBot="1" x14ac:dyDescent="0.3">
      <c r="A20" s="57" t="s">
        <v>54</v>
      </c>
      <c r="B20" s="53">
        <v>419908617</v>
      </c>
    </row>
    <row r="21" spans="1:2" ht="15.75" thickBot="1" x14ac:dyDescent="0.3">
      <c r="A21" s="56" t="s">
        <v>55</v>
      </c>
      <c r="B21" s="52">
        <f>SUM(B22:B24)</f>
        <v>3326789865</v>
      </c>
    </row>
    <row r="22" spans="1:2" ht="15.75" thickBot="1" x14ac:dyDescent="0.3">
      <c r="A22" s="57" t="s">
        <v>56</v>
      </c>
      <c r="B22" s="53">
        <v>1706892938</v>
      </c>
    </row>
    <row r="23" spans="1:2" ht="15.75" thickBot="1" x14ac:dyDescent="0.3">
      <c r="A23" s="57" t="s">
        <v>57</v>
      </c>
      <c r="B23" s="53">
        <v>1249872018</v>
      </c>
    </row>
    <row r="24" spans="1:2" ht="15.75" thickBot="1" x14ac:dyDescent="0.3">
      <c r="A24" s="57" t="s">
        <v>593</v>
      </c>
      <c r="B24" s="53">
        <v>370024909</v>
      </c>
    </row>
    <row r="25" spans="1:2" ht="15.75" thickBot="1" x14ac:dyDescent="0.3">
      <c r="A25" s="56" t="s">
        <v>594</v>
      </c>
      <c r="B25" s="52">
        <f>SUM(B26:B38)</f>
        <v>5048413249</v>
      </c>
    </row>
    <row r="26" spans="1:2" ht="15.75" thickBot="1" x14ac:dyDescent="0.3">
      <c r="A26" s="57" t="s">
        <v>595</v>
      </c>
      <c r="B26" s="53">
        <v>1200261731</v>
      </c>
    </row>
    <row r="27" spans="1:2" ht="15.75" thickBot="1" x14ac:dyDescent="0.3">
      <c r="A27" s="57" t="s">
        <v>58</v>
      </c>
      <c r="B27" s="53">
        <v>38717102</v>
      </c>
    </row>
    <row r="28" spans="1:2" ht="15.75" thickBot="1" x14ac:dyDescent="0.3">
      <c r="A28" s="57" t="s">
        <v>59</v>
      </c>
      <c r="B28" s="53">
        <v>0</v>
      </c>
    </row>
    <row r="29" spans="1:2" ht="15.75" thickBot="1" x14ac:dyDescent="0.3">
      <c r="A29" s="57" t="s">
        <v>60</v>
      </c>
      <c r="B29" s="53">
        <v>989303445</v>
      </c>
    </row>
    <row r="30" spans="1:2" ht="15.75" thickBot="1" x14ac:dyDescent="0.3">
      <c r="A30" s="57" t="s">
        <v>61</v>
      </c>
      <c r="B30" s="53">
        <v>300000000</v>
      </c>
    </row>
    <row r="31" spans="1:2" ht="15.75" thickBot="1" x14ac:dyDescent="0.3">
      <c r="A31" s="57" t="s">
        <v>721</v>
      </c>
      <c r="B31" s="53">
        <v>1042182069</v>
      </c>
    </row>
    <row r="32" spans="1:2" ht="15.75" thickBot="1" x14ac:dyDescent="0.3">
      <c r="A32" s="57" t="s">
        <v>597</v>
      </c>
      <c r="B32" s="53">
        <v>42894110</v>
      </c>
    </row>
    <row r="33" spans="1:2" ht="15.75" thickBot="1" x14ac:dyDescent="0.3">
      <c r="A33" s="57" t="s">
        <v>598</v>
      </c>
      <c r="B33" s="53">
        <v>6209693</v>
      </c>
    </row>
    <row r="34" spans="1:2" ht="15.75" thickBot="1" x14ac:dyDescent="0.3">
      <c r="A34" s="57" t="s">
        <v>62</v>
      </c>
      <c r="B34" s="53">
        <v>0</v>
      </c>
    </row>
    <row r="35" spans="1:2" ht="15.75" thickBot="1" x14ac:dyDescent="0.3">
      <c r="A35" s="57" t="s">
        <v>599</v>
      </c>
      <c r="B35" s="53">
        <v>0</v>
      </c>
    </row>
    <row r="36" spans="1:2" ht="15.75" thickBot="1" x14ac:dyDescent="0.3">
      <c r="A36" s="57" t="s">
        <v>722</v>
      </c>
      <c r="B36" s="53">
        <v>58919311</v>
      </c>
    </row>
    <row r="37" spans="1:2" ht="15.75" thickBot="1" x14ac:dyDescent="0.3">
      <c r="A37" s="57" t="s">
        <v>63</v>
      </c>
      <c r="B37" s="53">
        <v>1369925788</v>
      </c>
    </row>
    <row r="38" spans="1:2" ht="15.75" thickBot="1" x14ac:dyDescent="0.3">
      <c r="A38" s="57" t="s">
        <v>64</v>
      </c>
      <c r="B38" s="53">
        <v>0</v>
      </c>
    </row>
    <row r="39" spans="1:2" ht="15.75" thickBot="1" x14ac:dyDescent="0.3">
      <c r="A39" s="56" t="s">
        <v>600</v>
      </c>
      <c r="B39" s="52">
        <f>SUM(B40:B44)</f>
        <v>500000000</v>
      </c>
    </row>
    <row r="40" spans="1:2" ht="15.75" thickBot="1" x14ac:dyDescent="0.3">
      <c r="A40" s="57" t="s">
        <v>723</v>
      </c>
      <c r="B40" s="53">
        <v>0</v>
      </c>
    </row>
    <row r="41" spans="1:2" ht="15.75" thickBot="1" x14ac:dyDescent="0.3">
      <c r="A41" s="57" t="s">
        <v>602</v>
      </c>
      <c r="B41" s="53">
        <v>200000000</v>
      </c>
    </row>
    <row r="42" spans="1:2" ht="15.75" thickBot="1" x14ac:dyDescent="0.3">
      <c r="A42" s="57" t="s">
        <v>65</v>
      </c>
      <c r="B42" s="53">
        <v>300000000</v>
      </c>
    </row>
    <row r="43" spans="1:2" ht="15.75" thickBot="1" x14ac:dyDescent="0.3">
      <c r="A43" s="57" t="s">
        <v>603</v>
      </c>
      <c r="B43" s="53">
        <v>0</v>
      </c>
    </row>
    <row r="44" spans="1:2" ht="15.75" thickBot="1" x14ac:dyDescent="0.3">
      <c r="A44" s="57" t="s">
        <v>604</v>
      </c>
      <c r="B44" s="53">
        <v>0</v>
      </c>
    </row>
    <row r="45" spans="1:2" ht="15.75" thickBot="1" x14ac:dyDescent="0.3">
      <c r="A45" s="56" t="s">
        <v>66</v>
      </c>
      <c r="B45" s="52">
        <f>+B46</f>
        <v>150000000</v>
      </c>
    </row>
    <row r="46" spans="1:2" ht="15.75" thickBot="1" x14ac:dyDescent="0.3">
      <c r="A46" s="57" t="s">
        <v>66</v>
      </c>
      <c r="B46" s="53">
        <v>150000000</v>
      </c>
    </row>
    <row r="47" spans="1:2" ht="15.75" thickBot="1" x14ac:dyDescent="0.3">
      <c r="A47" s="56" t="s">
        <v>605</v>
      </c>
      <c r="B47" s="52">
        <f>SUM(B48:B50)</f>
        <v>800000000</v>
      </c>
    </row>
    <row r="48" spans="1:2" ht="15.75" thickBot="1" x14ac:dyDescent="0.3">
      <c r="A48" s="57" t="s">
        <v>67</v>
      </c>
      <c r="B48" s="53">
        <v>50000000</v>
      </c>
    </row>
    <row r="49" spans="1:2" ht="15.75" thickBot="1" x14ac:dyDescent="0.3">
      <c r="A49" s="57" t="s">
        <v>68</v>
      </c>
      <c r="B49" s="54">
        <v>250000000</v>
      </c>
    </row>
    <row r="50" spans="1:2" ht="15.75" thickBot="1" x14ac:dyDescent="0.3">
      <c r="A50" s="57" t="s">
        <v>69</v>
      </c>
      <c r="B50" s="53">
        <v>500000000</v>
      </c>
    </row>
    <row r="51" spans="1:2" ht="15.75" thickBot="1" x14ac:dyDescent="0.3">
      <c r="A51" s="56" t="s">
        <v>70</v>
      </c>
      <c r="B51" s="52">
        <f>+B52</f>
        <v>95439877</v>
      </c>
    </row>
    <row r="52" spans="1:2" ht="15.75" thickBot="1" x14ac:dyDescent="0.3">
      <c r="A52" s="57" t="s">
        <v>606</v>
      </c>
      <c r="B52" s="53">
        <v>95439877</v>
      </c>
    </row>
    <row r="53" spans="1:2" ht="15.75" thickBot="1" x14ac:dyDescent="0.3">
      <c r="A53" s="56" t="s">
        <v>63</v>
      </c>
      <c r="B53" s="52">
        <f>+B54</f>
        <v>2897140176</v>
      </c>
    </row>
    <row r="54" spans="1:2" x14ac:dyDescent="0.25">
      <c r="A54" s="58" t="s">
        <v>63</v>
      </c>
      <c r="B54" s="55">
        <v>2897140176</v>
      </c>
    </row>
    <row r="55" spans="1:2" ht="15.75" thickBot="1" x14ac:dyDescent="0.3">
      <c r="A55" s="56" t="s">
        <v>71</v>
      </c>
      <c r="B55" s="52">
        <f>+B56</f>
        <v>0</v>
      </c>
    </row>
    <row r="56" spans="1:2" x14ac:dyDescent="0.25">
      <c r="A56" s="58" t="s">
        <v>71</v>
      </c>
      <c r="B56" s="55">
        <v>0</v>
      </c>
    </row>
  </sheetData>
  <mergeCells count="1">
    <mergeCell ref="A2:B2"/>
  </mergeCells>
  <pageMargins left="0.7" right="0.7" top="0.75" bottom="0.75" header="0.3" footer="0.3"/>
  <pageSetup scale="79" orientation="portrait" r:id="rId1"/>
  <headerFooter>
    <oddHeader>&amp;C&amp;F-&amp;A-&amp;P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enableFormatConditionsCalculation="0"/>
  <dimension ref="A1:IM55"/>
  <sheetViews>
    <sheetView showGridLines="0" view="pageBreakPreview" topLeftCell="A34" zoomScaleNormal="100" zoomScaleSheetLayoutView="100" workbookViewId="0">
      <selection activeCell="B37" sqref="B1:B1048576"/>
    </sheetView>
  </sheetViews>
  <sheetFormatPr baseColWidth="10" defaultColWidth="0" defaultRowHeight="14.25" x14ac:dyDescent="0.2"/>
  <cols>
    <col min="1" max="1" width="4.42578125" style="129" customWidth="1"/>
    <col min="2" max="2" width="81.42578125" style="141" customWidth="1"/>
    <col min="3" max="3" width="8.140625" style="140" bestFit="1" customWidth="1"/>
    <col min="4" max="4" width="12.42578125" style="140" bestFit="1" customWidth="1"/>
    <col min="5" max="5" width="10.7109375" style="140" bestFit="1" customWidth="1"/>
    <col min="6" max="6" width="12.140625" style="129" bestFit="1" customWidth="1"/>
    <col min="7" max="7" width="9.85546875" style="129" customWidth="1"/>
    <col min="8" max="8" width="11" style="129" bestFit="1" customWidth="1"/>
    <col min="9" max="9" width="10.42578125" style="142" bestFit="1" customWidth="1"/>
    <col min="10" max="10" width="8.7109375" style="142" bestFit="1" customWidth="1"/>
    <col min="11" max="11" width="10" style="142" bestFit="1" customWidth="1"/>
    <col min="12" max="12" width="10.140625" style="142" bestFit="1" customWidth="1"/>
    <col min="13" max="13" width="2.42578125" style="129" customWidth="1"/>
    <col min="14" max="14" width="3.28515625" style="129" customWidth="1"/>
    <col min="15" max="15" width="13.28515625" style="142" bestFit="1" customWidth="1"/>
    <col min="16" max="16" width="2.42578125" style="129" customWidth="1"/>
    <col min="17" max="17" width="15" style="129" customWidth="1"/>
    <col min="18" max="18" width="2.42578125" style="129" customWidth="1"/>
    <col min="19" max="19" width="10.7109375" style="129" customWidth="1"/>
    <col min="20" max="20" width="3" style="129" customWidth="1"/>
    <col min="21" max="21" width="11.42578125" style="129" customWidth="1"/>
    <col min="22" max="22" width="3" style="129" customWidth="1"/>
    <col min="23" max="23" width="15" style="129" customWidth="1"/>
    <col min="24" max="24" width="3" style="129" customWidth="1"/>
    <col min="25" max="244" width="12.42578125" style="129" hidden="1" customWidth="1"/>
    <col min="245" max="247" width="12.42578125" style="129" hidden="1"/>
    <col min="248" max="255" width="0" style="129" hidden="1"/>
    <col min="256" max="256" width="4.42578125" style="129" customWidth="1"/>
    <col min="257" max="257" width="11" style="129" customWidth="1"/>
    <col min="258" max="258" width="81.42578125" style="129" customWidth="1"/>
    <col min="259" max="259" width="11.28515625" style="129" customWidth="1"/>
    <col min="260" max="260" width="15" style="129" customWidth="1"/>
    <col min="261" max="261" width="15.140625" style="129" customWidth="1"/>
    <col min="262" max="262" width="12.140625" style="129" bestFit="1" customWidth="1"/>
    <col min="263" max="263" width="9.85546875" style="129" customWidth="1"/>
    <col min="264" max="264" width="11" style="129" bestFit="1" customWidth="1"/>
    <col min="265" max="265" width="10.42578125" style="129" bestFit="1" customWidth="1"/>
    <col min="266" max="266" width="8.7109375" style="129" bestFit="1" customWidth="1"/>
    <col min="267" max="267" width="10" style="129" bestFit="1" customWidth="1"/>
    <col min="268" max="268" width="10.140625" style="129" bestFit="1" customWidth="1"/>
    <col min="269" max="269" width="2.42578125" style="129" customWidth="1"/>
    <col min="270" max="270" width="3.28515625" style="129" customWidth="1"/>
    <col min="271" max="271" width="13.28515625" style="129" bestFit="1" customWidth="1"/>
    <col min="272" max="272" width="2.42578125" style="129" customWidth="1"/>
    <col min="273" max="273" width="15" style="129" customWidth="1"/>
    <col min="274" max="274" width="2.42578125" style="129" customWidth="1"/>
    <col min="275" max="275" width="10.7109375" style="129" customWidth="1"/>
    <col min="276" max="276" width="3" style="129" customWidth="1"/>
    <col min="277" max="277" width="11.42578125" style="129" customWidth="1"/>
    <col min="278" max="278" width="3" style="129" customWidth="1"/>
    <col min="279" max="279" width="15" style="129" customWidth="1"/>
    <col min="280" max="280" width="3" style="129" customWidth="1"/>
    <col min="281" max="500" width="0" style="129" hidden="1" customWidth="1"/>
    <col min="501" max="511" width="0" style="129" hidden="1"/>
    <col min="512" max="512" width="4.42578125" style="129" customWidth="1"/>
    <col min="513" max="513" width="11" style="129" customWidth="1"/>
    <col min="514" max="514" width="81.42578125" style="129" customWidth="1"/>
    <col min="515" max="515" width="11.28515625" style="129" customWidth="1"/>
    <col min="516" max="516" width="15" style="129" customWidth="1"/>
    <col min="517" max="517" width="15.140625" style="129" customWidth="1"/>
    <col min="518" max="518" width="12.140625" style="129" bestFit="1" customWidth="1"/>
    <col min="519" max="519" width="9.85546875" style="129" customWidth="1"/>
    <col min="520" max="520" width="11" style="129" bestFit="1" customWidth="1"/>
    <col min="521" max="521" width="10.42578125" style="129" bestFit="1" customWidth="1"/>
    <col min="522" max="522" width="8.7109375" style="129" bestFit="1" customWidth="1"/>
    <col min="523" max="523" width="10" style="129" bestFit="1" customWidth="1"/>
    <col min="524" max="524" width="10.140625" style="129" bestFit="1" customWidth="1"/>
    <col min="525" max="525" width="2.42578125" style="129" customWidth="1"/>
    <col min="526" max="526" width="3.28515625" style="129" customWidth="1"/>
    <col min="527" max="527" width="13.28515625" style="129" bestFit="1" customWidth="1"/>
    <col min="528" max="528" width="2.42578125" style="129" customWidth="1"/>
    <col min="529" max="529" width="15" style="129" customWidth="1"/>
    <col min="530" max="530" width="2.42578125" style="129" customWidth="1"/>
    <col min="531" max="531" width="10.7109375" style="129" customWidth="1"/>
    <col min="532" max="532" width="3" style="129" customWidth="1"/>
    <col min="533" max="533" width="11.42578125" style="129" customWidth="1"/>
    <col min="534" max="534" width="3" style="129" customWidth="1"/>
    <col min="535" max="535" width="15" style="129" customWidth="1"/>
    <col min="536" max="536" width="3" style="129" customWidth="1"/>
    <col min="537" max="756" width="0" style="129" hidden="1" customWidth="1"/>
    <col min="757" max="767" width="0" style="129" hidden="1"/>
    <col min="768" max="768" width="4.42578125" style="129" customWidth="1"/>
    <col min="769" max="769" width="11" style="129" customWidth="1"/>
    <col min="770" max="770" width="81.42578125" style="129" customWidth="1"/>
    <col min="771" max="771" width="11.28515625" style="129" customWidth="1"/>
    <col min="772" max="772" width="15" style="129" customWidth="1"/>
    <col min="773" max="773" width="15.140625" style="129" customWidth="1"/>
    <col min="774" max="774" width="12.140625" style="129" bestFit="1" customWidth="1"/>
    <col min="775" max="775" width="9.85546875" style="129" customWidth="1"/>
    <col min="776" max="776" width="11" style="129" bestFit="1" customWidth="1"/>
    <col min="777" max="777" width="10.42578125" style="129" bestFit="1" customWidth="1"/>
    <col min="778" max="778" width="8.7109375" style="129" bestFit="1" customWidth="1"/>
    <col min="779" max="779" width="10" style="129" bestFit="1" customWidth="1"/>
    <col min="780" max="780" width="10.140625" style="129" bestFit="1" customWidth="1"/>
    <col min="781" max="781" width="2.42578125" style="129" customWidth="1"/>
    <col min="782" max="782" width="3.28515625" style="129" customWidth="1"/>
    <col min="783" max="783" width="13.28515625" style="129" bestFit="1" customWidth="1"/>
    <col min="784" max="784" width="2.42578125" style="129" customWidth="1"/>
    <col min="785" max="785" width="15" style="129" customWidth="1"/>
    <col min="786" max="786" width="2.42578125" style="129" customWidth="1"/>
    <col min="787" max="787" width="10.7109375" style="129" customWidth="1"/>
    <col min="788" max="788" width="3" style="129" customWidth="1"/>
    <col min="789" max="789" width="11.42578125" style="129" customWidth="1"/>
    <col min="790" max="790" width="3" style="129" customWidth="1"/>
    <col min="791" max="791" width="15" style="129" customWidth="1"/>
    <col min="792" max="792" width="3" style="129" customWidth="1"/>
    <col min="793" max="1012" width="0" style="129" hidden="1" customWidth="1"/>
    <col min="1013" max="1023" width="0" style="129" hidden="1"/>
    <col min="1024" max="1024" width="4.42578125" style="129" customWidth="1"/>
    <col min="1025" max="1025" width="11" style="129" customWidth="1"/>
    <col min="1026" max="1026" width="81.42578125" style="129" customWidth="1"/>
    <col min="1027" max="1027" width="11.28515625" style="129" customWidth="1"/>
    <col min="1028" max="1028" width="15" style="129" customWidth="1"/>
    <col min="1029" max="1029" width="15.140625" style="129" customWidth="1"/>
    <col min="1030" max="1030" width="12.140625" style="129" bestFit="1" customWidth="1"/>
    <col min="1031" max="1031" width="9.85546875" style="129" customWidth="1"/>
    <col min="1032" max="1032" width="11" style="129" bestFit="1" customWidth="1"/>
    <col min="1033" max="1033" width="10.42578125" style="129" bestFit="1" customWidth="1"/>
    <col min="1034" max="1034" width="8.7109375" style="129" bestFit="1" customWidth="1"/>
    <col min="1035" max="1035" width="10" style="129" bestFit="1" customWidth="1"/>
    <col min="1036" max="1036" width="10.140625" style="129" bestFit="1" customWidth="1"/>
    <col min="1037" max="1037" width="2.42578125" style="129" customWidth="1"/>
    <col min="1038" max="1038" width="3.28515625" style="129" customWidth="1"/>
    <col min="1039" max="1039" width="13.28515625" style="129" bestFit="1" customWidth="1"/>
    <col min="1040" max="1040" width="2.42578125" style="129" customWidth="1"/>
    <col min="1041" max="1041" width="15" style="129" customWidth="1"/>
    <col min="1042" max="1042" width="2.42578125" style="129" customWidth="1"/>
    <col min="1043" max="1043" width="10.7109375" style="129" customWidth="1"/>
    <col min="1044" max="1044" width="3" style="129" customWidth="1"/>
    <col min="1045" max="1045" width="11.42578125" style="129" customWidth="1"/>
    <col min="1046" max="1046" width="3" style="129" customWidth="1"/>
    <col min="1047" max="1047" width="15" style="129" customWidth="1"/>
    <col min="1048" max="1048" width="3" style="129" customWidth="1"/>
    <col min="1049" max="1268" width="0" style="129" hidden="1" customWidth="1"/>
    <col min="1269" max="1279" width="0" style="129" hidden="1"/>
    <col min="1280" max="1280" width="4.42578125" style="129" customWidth="1"/>
    <col min="1281" max="1281" width="11" style="129" customWidth="1"/>
    <col min="1282" max="1282" width="81.42578125" style="129" customWidth="1"/>
    <col min="1283" max="1283" width="11.28515625" style="129" customWidth="1"/>
    <col min="1284" max="1284" width="15" style="129" customWidth="1"/>
    <col min="1285" max="1285" width="15.140625" style="129" customWidth="1"/>
    <col min="1286" max="1286" width="12.140625" style="129" bestFit="1" customWidth="1"/>
    <col min="1287" max="1287" width="9.85546875" style="129" customWidth="1"/>
    <col min="1288" max="1288" width="11" style="129" bestFit="1" customWidth="1"/>
    <col min="1289" max="1289" width="10.42578125" style="129" bestFit="1" customWidth="1"/>
    <col min="1290" max="1290" width="8.7109375" style="129" bestFit="1" customWidth="1"/>
    <col min="1291" max="1291" width="10" style="129" bestFit="1" customWidth="1"/>
    <col min="1292" max="1292" width="10.140625" style="129" bestFit="1" customWidth="1"/>
    <col min="1293" max="1293" width="2.42578125" style="129" customWidth="1"/>
    <col min="1294" max="1294" width="3.28515625" style="129" customWidth="1"/>
    <col min="1295" max="1295" width="13.28515625" style="129" bestFit="1" customWidth="1"/>
    <col min="1296" max="1296" width="2.42578125" style="129" customWidth="1"/>
    <col min="1297" max="1297" width="15" style="129" customWidth="1"/>
    <col min="1298" max="1298" width="2.42578125" style="129" customWidth="1"/>
    <col min="1299" max="1299" width="10.7109375" style="129" customWidth="1"/>
    <col min="1300" max="1300" width="3" style="129" customWidth="1"/>
    <col min="1301" max="1301" width="11.42578125" style="129" customWidth="1"/>
    <col min="1302" max="1302" width="3" style="129" customWidth="1"/>
    <col min="1303" max="1303" width="15" style="129" customWidth="1"/>
    <col min="1304" max="1304" width="3" style="129" customWidth="1"/>
    <col min="1305" max="1524" width="0" style="129" hidden="1" customWidth="1"/>
    <col min="1525" max="1535" width="0" style="129" hidden="1"/>
    <col min="1536" max="1536" width="4.42578125" style="129" customWidth="1"/>
    <col min="1537" max="1537" width="11" style="129" customWidth="1"/>
    <col min="1538" max="1538" width="81.42578125" style="129" customWidth="1"/>
    <col min="1539" max="1539" width="11.28515625" style="129" customWidth="1"/>
    <col min="1540" max="1540" width="15" style="129" customWidth="1"/>
    <col min="1541" max="1541" width="15.140625" style="129" customWidth="1"/>
    <col min="1542" max="1542" width="12.140625" style="129" bestFit="1" customWidth="1"/>
    <col min="1543" max="1543" width="9.85546875" style="129" customWidth="1"/>
    <col min="1544" max="1544" width="11" style="129" bestFit="1" customWidth="1"/>
    <col min="1545" max="1545" width="10.42578125" style="129" bestFit="1" customWidth="1"/>
    <col min="1546" max="1546" width="8.7109375" style="129" bestFit="1" customWidth="1"/>
    <col min="1547" max="1547" width="10" style="129" bestFit="1" customWidth="1"/>
    <col min="1548" max="1548" width="10.140625" style="129" bestFit="1" customWidth="1"/>
    <col min="1549" max="1549" width="2.42578125" style="129" customWidth="1"/>
    <col min="1550" max="1550" width="3.28515625" style="129" customWidth="1"/>
    <col min="1551" max="1551" width="13.28515625" style="129" bestFit="1" customWidth="1"/>
    <col min="1552" max="1552" width="2.42578125" style="129" customWidth="1"/>
    <col min="1553" max="1553" width="15" style="129" customWidth="1"/>
    <col min="1554" max="1554" width="2.42578125" style="129" customWidth="1"/>
    <col min="1555" max="1555" width="10.7109375" style="129" customWidth="1"/>
    <col min="1556" max="1556" width="3" style="129" customWidth="1"/>
    <col min="1557" max="1557" width="11.42578125" style="129" customWidth="1"/>
    <col min="1558" max="1558" width="3" style="129" customWidth="1"/>
    <col min="1559" max="1559" width="15" style="129" customWidth="1"/>
    <col min="1560" max="1560" width="3" style="129" customWidth="1"/>
    <col min="1561" max="1780" width="0" style="129" hidden="1" customWidth="1"/>
    <col min="1781" max="1791" width="0" style="129" hidden="1"/>
    <col min="1792" max="1792" width="4.42578125" style="129" customWidth="1"/>
    <col min="1793" max="1793" width="11" style="129" customWidth="1"/>
    <col min="1794" max="1794" width="81.42578125" style="129" customWidth="1"/>
    <col min="1795" max="1795" width="11.28515625" style="129" customWidth="1"/>
    <col min="1796" max="1796" width="15" style="129" customWidth="1"/>
    <col min="1797" max="1797" width="15.140625" style="129" customWidth="1"/>
    <col min="1798" max="1798" width="12.140625" style="129" bestFit="1" customWidth="1"/>
    <col min="1799" max="1799" width="9.85546875" style="129" customWidth="1"/>
    <col min="1800" max="1800" width="11" style="129" bestFit="1" customWidth="1"/>
    <col min="1801" max="1801" width="10.42578125" style="129" bestFit="1" customWidth="1"/>
    <col min="1802" max="1802" width="8.7109375" style="129" bestFit="1" customWidth="1"/>
    <col min="1803" max="1803" width="10" style="129" bestFit="1" customWidth="1"/>
    <col min="1804" max="1804" width="10.140625" style="129" bestFit="1" customWidth="1"/>
    <col min="1805" max="1805" width="2.42578125" style="129" customWidth="1"/>
    <col min="1806" max="1806" width="3.28515625" style="129" customWidth="1"/>
    <col min="1807" max="1807" width="13.28515625" style="129" bestFit="1" customWidth="1"/>
    <col min="1808" max="1808" width="2.42578125" style="129" customWidth="1"/>
    <col min="1809" max="1809" width="15" style="129" customWidth="1"/>
    <col min="1810" max="1810" width="2.42578125" style="129" customWidth="1"/>
    <col min="1811" max="1811" width="10.7109375" style="129" customWidth="1"/>
    <col min="1812" max="1812" width="3" style="129" customWidth="1"/>
    <col min="1813" max="1813" width="11.42578125" style="129" customWidth="1"/>
    <col min="1814" max="1814" width="3" style="129" customWidth="1"/>
    <col min="1815" max="1815" width="15" style="129" customWidth="1"/>
    <col min="1816" max="1816" width="3" style="129" customWidth="1"/>
    <col min="1817" max="2036" width="0" style="129" hidden="1" customWidth="1"/>
    <col min="2037" max="2047" width="0" style="129" hidden="1"/>
    <col min="2048" max="2048" width="4.42578125" style="129" customWidth="1"/>
    <col min="2049" max="2049" width="11" style="129" customWidth="1"/>
    <col min="2050" max="2050" width="81.42578125" style="129" customWidth="1"/>
    <col min="2051" max="2051" width="11.28515625" style="129" customWidth="1"/>
    <col min="2052" max="2052" width="15" style="129" customWidth="1"/>
    <col min="2053" max="2053" width="15.140625" style="129" customWidth="1"/>
    <col min="2054" max="2054" width="12.140625" style="129" bestFit="1" customWidth="1"/>
    <col min="2055" max="2055" width="9.85546875" style="129" customWidth="1"/>
    <col min="2056" max="2056" width="11" style="129" bestFit="1" customWidth="1"/>
    <col min="2057" max="2057" width="10.42578125" style="129" bestFit="1" customWidth="1"/>
    <col min="2058" max="2058" width="8.7109375" style="129" bestFit="1" customWidth="1"/>
    <col min="2059" max="2059" width="10" style="129" bestFit="1" customWidth="1"/>
    <col min="2060" max="2060" width="10.140625" style="129" bestFit="1" customWidth="1"/>
    <col min="2061" max="2061" width="2.42578125" style="129" customWidth="1"/>
    <col min="2062" max="2062" width="3.28515625" style="129" customWidth="1"/>
    <col min="2063" max="2063" width="13.28515625" style="129" bestFit="1" customWidth="1"/>
    <col min="2064" max="2064" width="2.42578125" style="129" customWidth="1"/>
    <col min="2065" max="2065" width="15" style="129" customWidth="1"/>
    <col min="2066" max="2066" width="2.42578125" style="129" customWidth="1"/>
    <col min="2067" max="2067" width="10.7109375" style="129" customWidth="1"/>
    <col min="2068" max="2068" width="3" style="129" customWidth="1"/>
    <col min="2069" max="2069" width="11.42578125" style="129" customWidth="1"/>
    <col min="2070" max="2070" width="3" style="129" customWidth="1"/>
    <col min="2071" max="2071" width="15" style="129" customWidth="1"/>
    <col min="2072" max="2072" width="3" style="129" customWidth="1"/>
    <col min="2073" max="2292" width="0" style="129" hidden="1" customWidth="1"/>
    <col min="2293" max="2303" width="0" style="129" hidden="1"/>
    <col min="2304" max="2304" width="4.42578125" style="129" customWidth="1"/>
    <col min="2305" max="2305" width="11" style="129" customWidth="1"/>
    <col min="2306" max="2306" width="81.42578125" style="129" customWidth="1"/>
    <col min="2307" max="2307" width="11.28515625" style="129" customWidth="1"/>
    <col min="2308" max="2308" width="15" style="129" customWidth="1"/>
    <col min="2309" max="2309" width="15.140625" style="129" customWidth="1"/>
    <col min="2310" max="2310" width="12.140625" style="129" bestFit="1" customWidth="1"/>
    <col min="2311" max="2311" width="9.85546875" style="129" customWidth="1"/>
    <col min="2312" max="2312" width="11" style="129" bestFit="1" customWidth="1"/>
    <col min="2313" max="2313" width="10.42578125" style="129" bestFit="1" customWidth="1"/>
    <col min="2314" max="2314" width="8.7109375" style="129" bestFit="1" customWidth="1"/>
    <col min="2315" max="2315" width="10" style="129" bestFit="1" customWidth="1"/>
    <col min="2316" max="2316" width="10.140625" style="129" bestFit="1" customWidth="1"/>
    <col min="2317" max="2317" width="2.42578125" style="129" customWidth="1"/>
    <col min="2318" max="2318" width="3.28515625" style="129" customWidth="1"/>
    <col min="2319" max="2319" width="13.28515625" style="129" bestFit="1" customWidth="1"/>
    <col min="2320" max="2320" width="2.42578125" style="129" customWidth="1"/>
    <col min="2321" max="2321" width="15" style="129" customWidth="1"/>
    <col min="2322" max="2322" width="2.42578125" style="129" customWidth="1"/>
    <col min="2323" max="2323" width="10.7109375" style="129" customWidth="1"/>
    <col min="2324" max="2324" width="3" style="129" customWidth="1"/>
    <col min="2325" max="2325" width="11.42578125" style="129" customWidth="1"/>
    <col min="2326" max="2326" width="3" style="129" customWidth="1"/>
    <col min="2327" max="2327" width="15" style="129" customWidth="1"/>
    <col min="2328" max="2328" width="3" style="129" customWidth="1"/>
    <col min="2329" max="2548" width="0" style="129" hidden="1" customWidth="1"/>
    <col min="2549" max="2559" width="0" style="129" hidden="1"/>
    <col min="2560" max="2560" width="4.42578125" style="129" customWidth="1"/>
    <col min="2561" max="2561" width="11" style="129" customWidth="1"/>
    <col min="2562" max="2562" width="81.42578125" style="129" customWidth="1"/>
    <col min="2563" max="2563" width="11.28515625" style="129" customWidth="1"/>
    <col min="2564" max="2564" width="15" style="129" customWidth="1"/>
    <col min="2565" max="2565" width="15.140625" style="129" customWidth="1"/>
    <col min="2566" max="2566" width="12.140625" style="129" bestFit="1" customWidth="1"/>
    <col min="2567" max="2567" width="9.85546875" style="129" customWidth="1"/>
    <col min="2568" max="2568" width="11" style="129" bestFit="1" customWidth="1"/>
    <col min="2569" max="2569" width="10.42578125" style="129" bestFit="1" customWidth="1"/>
    <col min="2570" max="2570" width="8.7109375" style="129" bestFit="1" customWidth="1"/>
    <col min="2571" max="2571" width="10" style="129" bestFit="1" customWidth="1"/>
    <col min="2572" max="2572" width="10.140625" style="129" bestFit="1" customWidth="1"/>
    <col min="2573" max="2573" width="2.42578125" style="129" customWidth="1"/>
    <col min="2574" max="2574" width="3.28515625" style="129" customWidth="1"/>
    <col min="2575" max="2575" width="13.28515625" style="129" bestFit="1" customWidth="1"/>
    <col min="2576" max="2576" width="2.42578125" style="129" customWidth="1"/>
    <col min="2577" max="2577" width="15" style="129" customWidth="1"/>
    <col min="2578" max="2578" width="2.42578125" style="129" customWidth="1"/>
    <col min="2579" max="2579" width="10.7109375" style="129" customWidth="1"/>
    <col min="2580" max="2580" width="3" style="129" customWidth="1"/>
    <col min="2581" max="2581" width="11.42578125" style="129" customWidth="1"/>
    <col min="2582" max="2582" width="3" style="129" customWidth="1"/>
    <col min="2583" max="2583" width="15" style="129" customWidth="1"/>
    <col min="2584" max="2584" width="3" style="129" customWidth="1"/>
    <col min="2585" max="2804" width="0" style="129" hidden="1" customWidth="1"/>
    <col min="2805" max="2815" width="0" style="129" hidden="1"/>
    <col min="2816" max="2816" width="4.42578125" style="129" customWidth="1"/>
    <col min="2817" max="2817" width="11" style="129" customWidth="1"/>
    <col min="2818" max="2818" width="81.42578125" style="129" customWidth="1"/>
    <col min="2819" max="2819" width="11.28515625" style="129" customWidth="1"/>
    <col min="2820" max="2820" width="15" style="129" customWidth="1"/>
    <col min="2821" max="2821" width="15.140625" style="129" customWidth="1"/>
    <col min="2822" max="2822" width="12.140625" style="129" bestFit="1" customWidth="1"/>
    <col min="2823" max="2823" width="9.85546875" style="129" customWidth="1"/>
    <col min="2824" max="2824" width="11" style="129" bestFit="1" customWidth="1"/>
    <col min="2825" max="2825" width="10.42578125" style="129" bestFit="1" customWidth="1"/>
    <col min="2826" max="2826" width="8.7109375" style="129" bestFit="1" customWidth="1"/>
    <col min="2827" max="2827" width="10" style="129" bestFit="1" customWidth="1"/>
    <col min="2828" max="2828" width="10.140625" style="129" bestFit="1" customWidth="1"/>
    <col min="2829" max="2829" width="2.42578125" style="129" customWidth="1"/>
    <col min="2830" max="2830" width="3.28515625" style="129" customWidth="1"/>
    <col min="2831" max="2831" width="13.28515625" style="129" bestFit="1" customWidth="1"/>
    <col min="2832" max="2832" width="2.42578125" style="129" customWidth="1"/>
    <col min="2833" max="2833" width="15" style="129" customWidth="1"/>
    <col min="2834" max="2834" width="2.42578125" style="129" customWidth="1"/>
    <col min="2835" max="2835" width="10.7109375" style="129" customWidth="1"/>
    <col min="2836" max="2836" width="3" style="129" customWidth="1"/>
    <col min="2837" max="2837" width="11.42578125" style="129" customWidth="1"/>
    <col min="2838" max="2838" width="3" style="129" customWidth="1"/>
    <col min="2839" max="2839" width="15" style="129" customWidth="1"/>
    <col min="2840" max="2840" width="3" style="129" customWidth="1"/>
    <col min="2841" max="3060" width="0" style="129" hidden="1" customWidth="1"/>
    <col min="3061" max="3071" width="0" style="129" hidden="1"/>
    <col min="3072" max="3072" width="4.42578125" style="129" customWidth="1"/>
    <col min="3073" max="3073" width="11" style="129" customWidth="1"/>
    <col min="3074" max="3074" width="81.42578125" style="129" customWidth="1"/>
    <col min="3075" max="3075" width="11.28515625" style="129" customWidth="1"/>
    <col min="3076" max="3076" width="15" style="129" customWidth="1"/>
    <col min="3077" max="3077" width="15.140625" style="129" customWidth="1"/>
    <col min="3078" max="3078" width="12.140625" style="129" bestFit="1" customWidth="1"/>
    <col min="3079" max="3079" width="9.85546875" style="129" customWidth="1"/>
    <col min="3080" max="3080" width="11" style="129" bestFit="1" customWidth="1"/>
    <col min="3081" max="3081" width="10.42578125" style="129" bestFit="1" customWidth="1"/>
    <col min="3082" max="3082" width="8.7109375" style="129" bestFit="1" customWidth="1"/>
    <col min="3083" max="3083" width="10" style="129" bestFit="1" customWidth="1"/>
    <col min="3084" max="3084" width="10.140625" style="129" bestFit="1" customWidth="1"/>
    <col min="3085" max="3085" width="2.42578125" style="129" customWidth="1"/>
    <col min="3086" max="3086" width="3.28515625" style="129" customWidth="1"/>
    <col min="3087" max="3087" width="13.28515625" style="129" bestFit="1" customWidth="1"/>
    <col min="3088" max="3088" width="2.42578125" style="129" customWidth="1"/>
    <col min="3089" max="3089" width="15" style="129" customWidth="1"/>
    <col min="3090" max="3090" width="2.42578125" style="129" customWidth="1"/>
    <col min="3091" max="3091" width="10.7109375" style="129" customWidth="1"/>
    <col min="3092" max="3092" width="3" style="129" customWidth="1"/>
    <col min="3093" max="3093" width="11.42578125" style="129" customWidth="1"/>
    <col min="3094" max="3094" width="3" style="129" customWidth="1"/>
    <col min="3095" max="3095" width="15" style="129" customWidth="1"/>
    <col min="3096" max="3096" width="3" style="129" customWidth="1"/>
    <col min="3097" max="3316" width="0" style="129" hidden="1" customWidth="1"/>
    <col min="3317" max="3327" width="0" style="129" hidden="1"/>
    <col min="3328" max="3328" width="4.42578125" style="129" customWidth="1"/>
    <col min="3329" max="3329" width="11" style="129" customWidth="1"/>
    <col min="3330" max="3330" width="81.42578125" style="129" customWidth="1"/>
    <col min="3331" max="3331" width="11.28515625" style="129" customWidth="1"/>
    <col min="3332" max="3332" width="15" style="129" customWidth="1"/>
    <col min="3333" max="3333" width="15.140625" style="129" customWidth="1"/>
    <col min="3334" max="3334" width="12.140625" style="129" bestFit="1" customWidth="1"/>
    <col min="3335" max="3335" width="9.85546875" style="129" customWidth="1"/>
    <col min="3336" max="3336" width="11" style="129" bestFit="1" customWidth="1"/>
    <col min="3337" max="3337" width="10.42578125" style="129" bestFit="1" customWidth="1"/>
    <col min="3338" max="3338" width="8.7109375" style="129" bestFit="1" customWidth="1"/>
    <col min="3339" max="3339" width="10" style="129" bestFit="1" customWidth="1"/>
    <col min="3340" max="3340" width="10.140625" style="129" bestFit="1" customWidth="1"/>
    <col min="3341" max="3341" width="2.42578125" style="129" customWidth="1"/>
    <col min="3342" max="3342" width="3.28515625" style="129" customWidth="1"/>
    <col min="3343" max="3343" width="13.28515625" style="129" bestFit="1" customWidth="1"/>
    <col min="3344" max="3344" width="2.42578125" style="129" customWidth="1"/>
    <col min="3345" max="3345" width="15" style="129" customWidth="1"/>
    <col min="3346" max="3346" width="2.42578125" style="129" customWidth="1"/>
    <col min="3347" max="3347" width="10.7109375" style="129" customWidth="1"/>
    <col min="3348" max="3348" width="3" style="129" customWidth="1"/>
    <col min="3349" max="3349" width="11.42578125" style="129" customWidth="1"/>
    <col min="3350" max="3350" width="3" style="129" customWidth="1"/>
    <col min="3351" max="3351" width="15" style="129" customWidth="1"/>
    <col min="3352" max="3352" width="3" style="129" customWidth="1"/>
    <col min="3353" max="3572" width="0" style="129" hidden="1" customWidth="1"/>
    <col min="3573" max="3583" width="0" style="129" hidden="1"/>
    <col min="3584" max="3584" width="4.42578125" style="129" customWidth="1"/>
    <col min="3585" max="3585" width="11" style="129" customWidth="1"/>
    <col min="3586" max="3586" width="81.42578125" style="129" customWidth="1"/>
    <col min="3587" max="3587" width="11.28515625" style="129" customWidth="1"/>
    <col min="3588" max="3588" width="15" style="129" customWidth="1"/>
    <col min="3589" max="3589" width="15.140625" style="129" customWidth="1"/>
    <col min="3590" max="3590" width="12.140625" style="129" bestFit="1" customWidth="1"/>
    <col min="3591" max="3591" width="9.85546875" style="129" customWidth="1"/>
    <col min="3592" max="3592" width="11" style="129" bestFit="1" customWidth="1"/>
    <col min="3593" max="3593" width="10.42578125" style="129" bestFit="1" customWidth="1"/>
    <col min="3594" max="3594" width="8.7109375" style="129" bestFit="1" customWidth="1"/>
    <col min="3595" max="3595" width="10" style="129" bestFit="1" customWidth="1"/>
    <col min="3596" max="3596" width="10.140625" style="129" bestFit="1" customWidth="1"/>
    <col min="3597" max="3597" width="2.42578125" style="129" customWidth="1"/>
    <col min="3598" max="3598" width="3.28515625" style="129" customWidth="1"/>
    <col min="3599" max="3599" width="13.28515625" style="129" bestFit="1" customWidth="1"/>
    <col min="3600" max="3600" width="2.42578125" style="129" customWidth="1"/>
    <col min="3601" max="3601" width="15" style="129" customWidth="1"/>
    <col min="3602" max="3602" width="2.42578125" style="129" customWidth="1"/>
    <col min="3603" max="3603" width="10.7109375" style="129" customWidth="1"/>
    <col min="3604" max="3604" width="3" style="129" customWidth="1"/>
    <col min="3605" max="3605" width="11.42578125" style="129" customWidth="1"/>
    <col min="3606" max="3606" width="3" style="129" customWidth="1"/>
    <col min="3607" max="3607" width="15" style="129" customWidth="1"/>
    <col min="3608" max="3608" width="3" style="129" customWidth="1"/>
    <col min="3609" max="3828" width="0" style="129" hidden="1" customWidth="1"/>
    <col min="3829" max="3839" width="0" style="129" hidden="1"/>
    <col min="3840" max="3840" width="4.42578125" style="129" customWidth="1"/>
    <col min="3841" max="3841" width="11" style="129" customWidth="1"/>
    <col min="3842" max="3842" width="81.42578125" style="129" customWidth="1"/>
    <col min="3843" max="3843" width="11.28515625" style="129" customWidth="1"/>
    <col min="3844" max="3844" width="15" style="129" customWidth="1"/>
    <col min="3845" max="3845" width="15.140625" style="129" customWidth="1"/>
    <col min="3846" max="3846" width="12.140625" style="129" bestFit="1" customWidth="1"/>
    <col min="3847" max="3847" width="9.85546875" style="129" customWidth="1"/>
    <col min="3848" max="3848" width="11" style="129" bestFit="1" customWidth="1"/>
    <col min="3849" max="3849" width="10.42578125" style="129" bestFit="1" customWidth="1"/>
    <col min="3850" max="3850" width="8.7109375" style="129" bestFit="1" customWidth="1"/>
    <col min="3851" max="3851" width="10" style="129" bestFit="1" customWidth="1"/>
    <col min="3852" max="3852" width="10.140625" style="129" bestFit="1" customWidth="1"/>
    <col min="3853" max="3853" width="2.42578125" style="129" customWidth="1"/>
    <col min="3854" max="3854" width="3.28515625" style="129" customWidth="1"/>
    <col min="3855" max="3855" width="13.28515625" style="129" bestFit="1" customWidth="1"/>
    <col min="3856" max="3856" width="2.42578125" style="129" customWidth="1"/>
    <col min="3857" max="3857" width="15" style="129" customWidth="1"/>
    <col min="3858" max="3858" width="2.42578125" style="129" customWidth="1"/>
    <col min="3859" max="3859" width="10.7109375" style="129" customWidth="1"/>
    <col min="3860" max="3860" width="3" style="129" customWidth="1"/>
    <col min="3861" max="3861" width="11.42578125" style="129" customWidth="1"/>
    <col min="3862" max="3862" width="3" style="129" customWidth="1"/>
    <col min="3863" max="3863" width="15" style="129" customWidth="1"/>
    <col min="3864" max="3864" width="3" style="129" customWidth="1"/>
    <col min="3865" max="4084" width="0" style="129" hidden="1" customWidth="1"/>
    <col min="4085" max="4095" width="0" style="129" hidden="1"/>
    <col min="4096" max="4096" width="4.42578125" style="129" customWidth="1"/>
    <col min="4097" max="4097" width="11" style="129" customWidth="1"/>
    <col min="4098" max="4098" width="81.42578125" style="129" customWidth="1"/>
    <col min="4099" max="4099" width="11.28515625" style="129" customWidth="1"/>
    <col min="4100" max="4100" width="15" style="129" customWidth="1"/>
    <col min="4101" max="4101" width="15.140625" style="129" customWidth="1"/>
    <col min="4102" max="4102" width="12.140625" style="129" bestFit="1" customWidth="1"/>
    <col min="4103" max="4103" width="9.85546875" style="129" customWidth="1"/>
    <col min="4104" max="4104" width="11" style="129" bestFit="1" customWidth="1"/>
    <col min="4105" max="4105" width="10.42578125" style="129" bestFit="1" customWidth="1"/>
    <col min="4106" max="4106" width="8.7109375" style="129" bestFit="1" customWidth="1"/>
    <col min="4107" max="4107" width="10" style="129" bestFit="1" customWidth="1"/>
    <col min="4108" max="4108" width="10.140625" style="129" bestFit="1" customWidth="1"/>
    <col min="4109" max="4109" width="2.42578125" style="129" customWidth="1"/>
    <col min="4110" max="4110" width="3.28515625" style="129" customWidth="1"/>
    <col min="4111" max="4111" width="13.28515625" style="129" bestFit="1" customWidth="1"/>
    <col min="4112" max="4112" width="2.42578125" style="129" customWidth="1"/>
    <col min="4113" max="4113" width="15" style="129" customWidth="1"/>
    <col min="4114" max="4114" width="2.42578125" style="129" customWidth="1"/>
    <col min="4115" max="4115" width="10.7109375" style="129" customWidth="1"/>
    <col min="4116" max="4116" width="3" style="129" customWidth="1"/>
    <col min="4117" max="4117" width="11.42578125" style="129" customWidth="1"/>
    <col min="4118" max="4118" width="3" style="129" customWidth="1"/>
    <col min="4119" max="4119" width="15" style="129" customWidth="1"/>
    <col min="4120" max="4120" width="3" style="129" customWidth="1"/>
    <col min="4121" max="4340" width="0" style="129" hidden="1" customWidth="1"/>
    <col min="4341" max="4351" width="0" style="129" hidden="1"/>
    <col min="4352" max="4352" width="4.42578125" style="129" customWidth="1"/>
    <col min="4353" max="4353" width="11" style="129" customWidth="1"/>
    <col min="4354" max="4354" width="81.42578125" style="129" customWidth="1"/>
    <col min="4355" max="4355" width="11.28515625" style="129" customWidth="1"/>
    <col min="4356" max="4356" width="15" style="129" customWidth="1"/>
    <col min="4357" max="4357" width="15.140625" style="129" customWidth="1"/>
    <col min="4358" max="4358" width="12.140625" style="129" bestFit="1" customWidth="1"/>
    <col min="4359" max="4359" width="9.85546875" style="129" customWidth="1"/>
    <col min="4360" max="4360" width="11" style="129" bestFit="1" customWidth="1"/>
    <col min="4361" max="4361" width="10.42578125" style="129" bestFit="1" customWidth="1"/>
    <col min="4362" max="4362" width="8.7109375" style="129" bestFit="1" customWidth="1"/>
    <col min="4363" max="4363" width="10" style="129" bestFit="1" customWidth="1"/>
    <col min="4364" max="4364" width="10.140625" style="129" bestFit="1" customWidth="1"/>
    <col min="4365" max="4365" width="2.42578125" style="129" customWidth="1"/>
    <col min="4366" max="4366" width="3.28515625" style="129" customWidth="1"/>
    <col min="4367" max="4367" width="13.28515625" style="129" bestFit="1" customWidth="1"/>
    <col min="4368" max="4368" width="2.42578125" style="129" customWidth="1"/>
    <col min="4369" max="4369" width="15" style="129" customWidth="1"/>
    <col min="4370" max="4370" width="2.42578125" style="129" customWidth="1"/>
    <col min="4371" max="4371" width="10.7109375" style="129" customWidth="1"/>
    <col min="4372" max="4372" width="3" style="129" customWidth="1"/>
    <col min="4373" max="4373" width="11.42578125" style="129" customWidth="1"/>
    <col min="4374" max="4374" width="3" style="129" customWidth="1"/>
    <col min="4375" max="4375" width="15" style="129" customWidth="1"/>
    <col min="4376" max="4376" width="3" style="129" customWidth="1"/>
    <col min="4377" max="4596" width="0" style="129" hidden="1" customWidth="1"/>
    <col min="4597" max="4607" width="0" style="129" hidden="1"/>
    <col min="4608" max="4608" width="4.42578125" style="129" customWidth="1"/>
    <col min="4609" max="4609" width="11" style="129" customWidth="1"/>
    <col min="4610" max="4610" width="81.42578125" style="129" customWidth="1"/>
    <col min="4611" max="4611" width="11.28515625" style="129" customWidth="1"/>
    <col min="4612" max="4612" width="15" style="129" customWidth="1"/>
    <col min="4613" max="4613" width="15.140625" style="129" customWidth="1"/>
    <col min="4614" max="4614" width="12.140625" style="129" bestFit="1" customWidth="1"/>
    <col min="4615" max="4615" width="9.85546875" style="129" customWidth="1"/>
    <col min="4616" max="4616" width="11" style="129" bestFit="1" customWidth="1"/>
    <col min="4617" max="4617" width="10.42578125" style="129" bestFit="1" customWidth="1"/>
    <col min="4618" max="4618" width="8.7109375" style="129" bestFit="1" customWidth="1"/>
    <col min="4619" max="4619" width="10" style="129" bestFit="1" customWidth="1"/>
    <col min="4620" max="4620" width="10.140625" style="129" bestFit="1" customWidth="1"/>
    <col min="4621" max="4621" width="2.42578125" style="129" customWidth="1"/>
    <col min="4622" max="4622" width="3.28515625" style="129" customWidth="1"/>
    <col min="4623" max="4623" width="13.28515625" style="129" bestFit="1" customWidth="1"/>
    <col min="4624" max="4624" width="2.42578125" style="129" customWidth="1"/>
    <col min="4625" max="4625" width="15" style="129" customWidth="1"/>
    <col min="4626" max="4626" width="2.42578125" style="129" customWidth="1"/>
    <col min="4627" max="4627" width="10.7109375" style="129" customWidth="1"/>
    <col min="4628" max="4628" width="3" style="129" customWidth="1"/>
    <col min="4629" max="4629" width="11.42578125" style="129" customWidth="1"/>
    <col min="4630" max="4630" width="3" style="129" customWidth="1"/>
    <col min="4631" max="4631" width="15" style="129" customWidth="1"/>
    <col min="4632" max="4632" width="3" style="129" customWidth="1"/>
    <col min="4633" max="4852" width="0" style="129" hidden="1" customWidth="1"/>
    <col min="4853" max="4863" width="0" style="129" hidden="1"/>
    <col min="4864" max="4864" width="4.42578125" style="129" customWidth="1"/>
    <col min="4865" max="4865" width="11" style="129" customWidth="1"/>
    <col min="4866" max="4866" width="81.42578125" style="129" customWidth="1"/>
    <col min="4867" max="4867" width="11.28515625" style="129" customWidth="1"/>
    <col min="4868" max="4868" width="15" style="129" customWidth="1"/>
    <col min="4869" max="4869" width="15.140625" style="129" customWidth="1"/>
    <col min="4870" max="4870" width="12.140625" style="129" bestFit="1" customWidth="1"/>
    <col min="4871" max="4871" width="9.85546875" style="129" customWidth="1"/>
    <col min="4872" max="4872" width="11" style="129" bestFit="1" customWidth="1"/>
    <col min="4873" max="4873" width="10.42578125" style="129" bestFit="1" customWidth="1"/>
    <col min="4874" max="4874" width="8.7109375" style="129" bestFit="1" customWidth="1"/>
    <col min="4875" max="4875" width="10" style="129" bestFit="1" customWidth="1"/>
    <col min="4876" max="4876" width="10.140625" style="129" bestFit="1" customWidth="1"/>
    <col min="4877" max="4877" width="2.42578125" style="129" customWidth="1"/>
    <col min="4878" max="4878" width="3.28515625" style="129" customWidth="1"/>
    <col min="4879" max="4879" width="13.28515625" style="129" bestFit="1" customWidth="1"/>
    <col min="4880" max="4880" width="2.42578125" style="129" customWidth="1"/>
    <col min="4881" max="4881" width="15" style="129" customWidth="1"/>
    <col min="4882" max="4882" width="2.42578125" style="129" customWidth="1"/>
    <col min="4883" max="4883" width="10.7109375" style="129" customWidth="1"/>
    <col min="4884" max="4884" width="3" style="129" customWidth="1"/>
    <col min="4885" max="4885" width="11.42578125" style="129" customWidth="1"/>
    <col min="4886" max="4886" width="3" style="129" customWidth="1"/>
    <col min="4887" max="4887" width="15" style="129" customWidth="1"/>
    <col min="4888" max="4888" width="3" style="129" customWidth="1"/>
    <col min="4889" max="5108" width="0" style="129" hidden="1" customWidth="1"/>
    <col min="5109" max="5119" width="0" style="129" hidden="1"/>
    <col min="5120" max="5120" width="4.42578125" style="129" customWidth="1"/>
    <col min="5121" max="5121" width="11" style="129" customWidth="1"/>
    <col min="5122" max="5122" width="81.42578125" style="129" customWidth="1"/>
    <col min="5123" max="5123" width="11.28515625" style="129" customWidth="1"/>
    <col min="5124" max="5124" width="15" style="129" customWidth="1"/>
    <col min="5125" max="5125" width="15.140625" style="129" customWidth="1"/>
    <col min="5126" max="5126" width="12.140625" style="129" bestFit="1" customWidth="1"/>
    <col min="5127" max="5127" width="9.85546875" style="129" customWidth="1"/>
    <col min="5128" max="5128" width="11" style="129" bestFit="1" customWidth="1"/>
    <col min="5129" max="5129" width="10.42578125" style="129" bestFit="1" customWidth="1"/>
    <col min="5130" max="5130" width="8.7109375" style="129" bestFit="1" customWidth="1"/>
    <col min="5131" max="5131" width="10" style="129" bestFit="1" customWidth="1"/>
    <col min="5132" max="5132" width="10.140625" style="129" bestFit="1" customWidth="1"/>
    <col min="5133" max="5133" width="2.42578125" style="129" customWidth="1"/>
    <col min="5134" max="5134" width="3.28515625" style="129" customWidth="1"/>
    <col min="5135" max="5135" width="13.28515625" style="129" bestFit="1" customWidth="1"/>
    <col min="5136" max="5136" width="2.42578125" style="129" customWidth="1"/>
    <col min="5137" max="5137" width="15" style="129" customWidth="1"/>
    <col min="5138" max="5138" width="2.42578125" style="129" customWidth="1"/>
    <col min="5139" max="5139" width="10.7109375" style="129" customWidth="1"/>
    <col min="5140" max="5140" width="3" style="129" customWidth="1"/>
    <col min="5141" max="5141" width="11.42578125" style="129" customWidth="1"/>
    <col min="5142" max="5142" width="3" style="129" customWidth="1"/>
    <col min="5143" max="5143" width="15" style="129" customWidth="1"/>
    <col min="5144" max="5144" width="3" style="129" customWidth="1"/>
    <col min="5145" max="5364" width="0" style="129" hidden="1" customWidth="1"/>
    <col min="5365" max="5375" width="0" style="129" hidden="1"/>
    <col min="5376" max="5376" width="4.42578125" style="129" customWidth="1"/>
    <col min="5377" max="5377" width="11" style="129" customWidth="1"/>
    <col min="5378" max="5378" width="81.42578125" style="129" customWidth="1"/>
    <col min="5379" max="5379" width="11.28515625" style="129" customWidth="1"/>
    <col min="5380" max="5380" width="15" style="129" customWidth="1"/>
    <col min="5381" max="5381" width="15.140625" style="129" customWidth="1"/>
    <col min="5382" max="5382" width="12.140625" style="129" bestFit="1" customWidth="1"/>
    <col min="5383" max="5383" width="9.85546875" style="129" customWidth="1"/>
    <col min="5384" max="5384" width="11" style="129" bestFit="1" customWidth="1"/>
    <col min="5385" max="5385" width="10.42578125" style="129" bestFit="1" customWidth="1"/>
    <col min="5386" max="5386" width="8.7109375" style="129" bestFit="1" customWidth="1"/>
    <col min="5387" max="5387" width="10" style="129" bestFit="1" customWidth="1"/>
    <col min="5388" max="5388" width="10.140625" style="129" bestFit="1" customWidth="1"/>
    <col min="5389" max="5389" width="2.42578125" style="129" customWidth="1"/>
    <col min="5390" max="5390" width="3.28515625" style="129" customWidth="1"/>
    <col min="5391" max="5391" width="13.28515625" style="129" bestFit="1" customWidth="1"/>
    <col min="5392" max="5392" width="2.42578125" style="129" customWidth="1"/>
    <col min="5393" max="5393" width="15" style="129" customWidth="1"/>
    <col min="5394" max="5394" width="2.42578125" style="129" customWidth="1"/>
    <col min="5395" max="5395" width="10.7109375" style="129" customWidth="1"/>
    <col min="5396" max="5396" width="3" style="129" customWidth="1"/>
    <col min="5397" max="5397" width="11.42578125" style="129" customWidth="1"/>
    <col min="5398" max="5398" width="3" style="129" customWidth="1"/>
    <col min="5399" max="5399" width="15" style="129" customWidth="1"/>
    <col min="5400" max="5400" width="3" style="129" customWidth="1"/>
    <col min="5401" max="5620" width="0" style="129" hidden="1" customWidth="1"/>
    <col min="5621" max="5631" width="0" style="129" hidden="1"/>
    <col min="5632" max="5632" width="4.42578125" style="129" customWidth="1"/>
    <col min="5633" max="5633" width="11" style="129" customWidth="1"/>
    <col min="5634" max="5634" width="81.42578125" style="129" customWidth="1"/>
    <col min="5635" max="5635" width="11.28515625" style="129" customWidth="1"/>
    <col min="5636" max="5636" width="15" style="129" customWidth="1"/>
    <col min="5637" max="5637" width="15.140625" style="129" customWidth="1"/>
    <col min="5638" max="5638" width="12.140625" style="129" bestFit="1" customWidth="1"/>
    <col min="5639" max="5639" width="9.85546875" style="129" customWidth="1"/>
    <col min="5640" max="5640" width="11" style="129" bestFit="1" customWidth="1"/>
    <col min="5641" max="5641" width="10.42578125" style="129" bestFit="1" customWidth="1"/>
    <col min="5642" max="5642" width="8.7109375" style="129" bestFit="1" customWidth="1"/>
    <col min="5643" max="5643" width="10" style="129" bestFit="1" customWidth="1"/>
    <col min="5644" max="5644" width="10.140625" style="129" bestFit="1" customWidth="1"/>
    <col min="5645" max="5645" width="2.42578125" style="129" customWidth="1"/>
    <col min="5646" max="5646" width="3.28515625" style="129" customWidth="1"/>
    <col min="5647" max="5647" width="13.28515625" style="129" bestFit="1" customWidth="1"/>
    <col min="5648" max="5648" width="2.42578125" style="129" customWidth="1"/>
    <col min="5649" max="5649" width="15" style="129" customWidth="1"/>
    <col min="5650" max="5650" width="2.42578125" style="129" customWidth="1"/>
    <col min="5651" max="5651" width="10.7109375" style="129" customWidth="1"/>
    <col min="5652" max="5652" width="3" style="129" customWidth="1"/>
    <col min="5653" max="5653" width="11.42578125" style="129" customWidth="1"/>
    <col min="5654" max="5654" width="3" style="129" customWidth="1"/>
    <col min="5655" max="5655" width="15" style="129" customWidth="1"/>
    <col min="5656" max="5656" width="3" style="129" customWidth="1"/>
    <col min="5657" max="5876" width="0" style="129" hidden="1" customWidth="1"/>
    <col min="5877" max="5887" width="0" style="129" hidden="1"/>
    <col min="5888" max="5888" width="4.42578125" style="129" customWidth="1"/>
    <col min="5889" max="5889" width="11" style="129" customWidth="1"/>
    <col min="5890" max="5890" width="81.42578125" style="129" customWidth="1"/>
    <col min="5891" max="5891" width="11.28515625" style="129" customWidth="1"/>
    <col min="5892" max="5892" width="15" style="129" customWidth="1"/>
    <col min="5893" max="5893" width="15.140625" style="129" customWidth="1"/>
    <col min="5894" max="5894" width="12.140625" style="129" bestFit="1" customWidth="1"/>
    <col min="5895" max="5895" width="9.85546875" style="129" customWidth="1"/>
    <col min="5896" max="5896" width="11" style="129" bestFit="1" customWidth="1"/>
    <col min="5897" max="5897" width="10.42578125" style="129" bestFit="1" customWidth="1"/>
    <col min="5898" max="5898" width="8.7109375" style="129" bestFit="1" customWidth="1"/>
    <col min="5899" max="5899" width="10" style="129" bestFit="1" customWidth="1"/>
    <col min="5900" max="5900" width="10.140625" style="129" bestFit="1" customWidth="1"/>
    <col min="5901" max="5901" width="2.42578125" style="129" customWidth="1"/>
    <col min="5902" max="5902" width="3.28515625" style="129" customWidth="1"/>
    <col min="5903" max="5903" width="13.28515625" style="129" bestFit="1" customWidth="1"/>
    <col min="5904" max="5904" width="2.42578125" style="129" customWidth="1"/>
    <col min="5905" max="5905" width="15" style="129" customWidth="1"/>
    <col min="5906" max="5906" width="2.42578125" style="129" customWidth="1"/>
    <col min="5907" max="5907" width="10.7109375" style="129" customWidth="1"/>
    <col min="5908" max="5908" width="3" style="129" customWidth="1"/>
    <col min="5909" max="5909" width="11.42578125" style="129" customWidth="1"/>
    <col min="5910" max="5910" width="3" style="129" customWidth="1"/>
    <col min="5911" max="5911" width="15" style="129" customWidth="1"/>
    <col min="5912" max="5912" width="3" style="129" customWidth="1"/>
    <col min="5913" max="6132" width="0" style="129" hidden="1" customWidth="1"/>
    <col min="6133" max="6143" width="0" style="129" hidden="1"/>
    <col min="6144" max="6144" width="4.42578125" style="129" customWidth="1"/>
    <col min="6145" max="6145" width="11" style="129" customWidth="1"/>
    <col min="6146" max="6146" width="81.42578125" style="129" customWidth="1"/>
    <col min="6147" max="6147" width="11.28515625" style="129" customWidth="1"/>
    <col min="6148" max="6148" width="15" style="129" customWidth="1"/>
    <col min="6149" max="6149" width="15.140625" style="129" customWidth="1"/>
    <col min="6150" max="6150" width="12.140625" style="129" bestFit="1" customWidth="1"/>
    <col min="6151" max="6151" width="9.85546875" style="129" customWidth="1"/>
    <col min="6152" max="6152" width="11" style="129" bestFit="1" customWidth="1"/>
    <col min="6153" max="6153" width="10.42578125" style="129" bestFit="1" customWidth="1"/>
    <col min="6154" max="6154" width="8.7109375" style="129" bestFit="1" customWidth="1"/>
    <col min="6155" max="6155" width="10" style="129" bestFit="1" customWidth="1"/>
    <col min="6156" max="6156" width="10.140625" style="129" bestFit="1" customWidth="1"/>
    <col min="6157" max="6157" width="2.42578125" style="129" customWidth="1"/>
    <col min="6158" max="6158" width="3.28515625" style="129" customWidth="1"/>
    <col min="6159" max="6159" width="13.28515625" style="129" bestFit="1" customWidth="1"/>
    <col min="6160" max="6160" width="2.42578125" style="129" customWidth="1"/>
    <col min="6161" max="6161" width="15" style="129" customWidth="1"/>
    <col min="6162" max="6162" width="2.42578125" style="129" customWidth="1"/>
    <col min="6163" max="6163" width="10.7109375" style="129" customWidth="1"/>
    <col min="6164" max="6164" width="3" style="129" customWidth="1"/>
    <col min="6165" max="6165" width="11.42578125" style="129" customWidth="1"/>
    <col min="6166" max="6166" width="3" style="129" customWidth="1"/>
    <col min="6167" max="6167" width="15" style="129" customWidth="1"/>
    <col min="6168" max="6168" width="3" style="129" customWidth="1"/>
    <col min="6169" max="6388" width="0" style="129" hidden="1" customWidth="1"/>
    <col min="6389" max="6399" width="0" style="129" hidden="1"/>
    <col min="6400" max="6400" width="4.42578125" style="129" customWidth="1"/>
    <col min="6401" max="6401" width="11" style="129" customWidth="1"/>
    <col min="6402" max="6402" width="81.42578125" style="129" customWidth="1"/>
    <col min="6403" max="6403" width="11.28515625" style="129" customWidth="1"/>
    <col min="6404" max="6404" width="15" style="129" customWidth="1"/>
    <col min="6405" max="6405" width="15.140625" style="129" customWidth="1"/>
    <col min="6406" max="6406" width="12.140625" style="129" bestFit="1" customWidth="1"/>
    <col min="6407" max="6407" width="9.85546875" style="129" customWidth="1"/>
    <col min="6408" max="6408" width="11" style="129" bestFit="1" customWidth="1"/>
    <col min="6409" max="6409" width="10.42578125" style="129" bestFit="1" customWidth="1"/>
    <col min="6410" max="6410" width="8.7109375" style="129" bestFit="1" customWidth="1"/>
    <col min="6411" max="6411" width="10" style="129" bestFit="1" customWidth="1"/>
    <col min="6412" max="6412" width="10.140625" style="129" bestFit="1" customWidth="1"/>
    <col min="6413" max="6413" width="2.42578125" style="129" customWidth="1"/>
    <col min="6414" max="6414" width="3.28515625" style="129" customWidth="1"/>
    <col min="6415" max="6415" width="13.28515625" style="129" bestFit="1" customWidth="1"/>
    <col min="6416" max="6416" width="2.42578125" style="129" customWidth="1"/>
    <col min="6417" max="6417" width="15" style="129" customWidth="1"/>
    <col min="6418" max="6418" width="2.42578125" style="129" customWidth="1"/>
    <col min="6419" max="6419" width="10.7109375" style="129" customWidth="1"/>
    <col min="6420" max="6420" width="3" style="129" customWidth="1"/>
    <col min="6421" max="6421" width="11.42578125" style="129" customWidth="1"/>
    <col min="6422" max="6422" width="3" style="129" customWidth="1"/>
    <col min="6423" max="6423" width="15" style="129" customWidth="1"/>
    <col min="6424" max="6424" width="3" style="129" customWidth="1"/>
    <col min="6425" max="6644" width="0" style="129" hidden="1" customWidth="1"/>
    <col min="6645" max="6655" width="0" style="129" hidden="1"/>
    <col min="6656" max="6656" width="4.42578125" style="129" customWidth="1"/>
    <col min="6657" max="6657" width="11" style="129" customWidth="1"/>
    <col min="6658" max="6658" width="81.42578125" style="129" customWidth="1"/>
    <col min="6659" max="6659" width="11.28515625" style="129" customWidth="1"/>
    <col min="6660" max="6660" width="15" style="129" customWidth="1"/>
    <col min="6661" max="6661" width="15.140625" style="129" customWidth="1"/>
    <col min="6662" max="6662" width="12.140625" style="129" bestFit="1" customWidth="1"/>
    <col min="6663" max="6663" width="9.85546875" style="129" customWidth="1"/>
    <col min="6664" max="6664" width="11" style="129" bestFit="1" customWidth="1"/>
    <col min="6665" max="6665" width="10.42578125" style="129" bestFit="1" customWidth="1"/>
    <col min="6666" max="6666" width="8.7109375" style="129" bestFit="1" customWidth="1"/>
    <col min="6667" max="6667" width="10" style="129" bestFit="1" customWidth="1"/>
    <col min="6668" max="6668" width="10.140625" style="129" bestFit="1" customWidth="1"/>
    <col min="6669" max="6669" width="2.42578125" style="129" customWidth="1"/>
    <col min="6670" max="6670" width="3.28515625" style="129" customWidth="1"/>
    <col min="6671" max="6671" width="13.28515625" style="129" bestFit="1" customWidth="1"/>
    <col min="6672" max="6672" width="2.42578125" style="129" customWidth="1"/>
    <col min="6673" max="6673" width="15" style="129" customWidth="1"/>
    <col min="6674" max="6674" width="2.42578125" style="129" customWidth="1"/>
    <col min="6675" max="6675" width="10.7109375" style="129" customWidth="1"/>
    <col min="6676" max="6676" width="3" style="129" customWidth="1"/>
    <col min="6677" max="6677" width="11.42578125" style="129" customWidth="1"/>
    <col min="6678" max="6678" width="3" style="129" customWidth="1"/>
    <col min="6679" max="6679" width="15" style="129" customWidth="1"/>
    <col min="6680" max="6680" width="3" style="129" customWidth="1"/>
    <col min="6681" max="6900" width="0" style="129" hidden="1" customWidth="1"/>
    <col min="6901" max="6911" width="0" style="129" hidden="1"/>
    <col min="6912" max="6912" width="4.42578125" style="129" customWidth="1"/>
    <col min="6913" max="6913" width="11" style="129" customWidth="1"/>
    <col min="6914" max="6914" width="81.42578125" style="129" customWidth="1"/>
    <col min="6915" max="6915" width="11.28515625" style="129" customWidth="1"/>
    <col min="6916" max="6916" width="15" style="129" customWidth="1"/>
    <col min="6917" max="6917" width="15.140625" style="129" customWidth="1"/>
    <col min="6918" max="6918" width="12.140625" style="129" bestFit="1" customWidth="1"/>
    <col min="6919" max="6919" width="9.85546875" style="129" customWidth="1"/>
    <col min="6920" max="6920" width="11" style="129" bestFit="1" customWidth="1"/>
    <col min="6921" max="6921" width="10.42578125" style="129" bestFit="1" customWidth="1"/>
    <col min="6922" max="6922" width="8.7109375" style="129" bestFit="1" customWidth="1"/>
    <col min="6923" max="6923" width="10" style="129" bestFit="1" customWidth="1"/>
    <col min="6924" max="6924" width="10.140625" style="129" bestFit="1" customWidth="1"/>
    <col min="6925" max="6925" width="2.42578125" style="129" customWidth="1"/>
    <col min="6926" max="6926" width="3.28515625" style="129" customWidth="1"/>
    <col min="6927" max="6927" width="13.28515625" style="129" bestFit="1" customWidth="1"/>
    <col min="6928" max="6928" width="2.42578125" style="129" customWidth="1"/>
    <col min="6929" max="6929" width="15" style="129" customWidth="1"/>
    <col min="6930" max="6930" width="2.42578125" style="129" customWidth="1"/>
    <col min="6931" max="6931" width="10.7109375" style="129" customWidth="1"/>
    <col min="6932" max="6932" width="3" style="129" customWidth="1"/>
    <col min="6933" max="6933" width="11.42578125" style="129" customWidth="1"/>
    <col min="6934" max="6934" width="3" style="129" customWidth="1"/>
    <col min="6935" max="6935" width="15" style="129" customWidth="1"/>
    <col min="6936" max="6936" width="3" style="129" customWidth="1"/>
    <col min="6937" max="7156" width="0" style="129" hidden="1" customWidth="1"/>
    <col min="7157" max="7167" width="0" style="129" hidden="1"/>
    <col min="7168" max="7168" width="4.42578125" style="129" customWidth="1"/>
    <col min="7169" max="7169" width="11" style="129" customWidth="1"/>
    <col min="7170" max="7170" width="81.42578125" style="129" customWidth="1"/>
    <col min="7171" max="7171" width="11.28515625" style="129" customWidth="1"/>
    <col min="7172" max="7172" width="15" style="129" customWidth="1"/>
    <col min="7173" max="7173" width="15.140625" style="129" customWidth="1"/>
    <col min="7174" max="7174" width="12.140625" style="129" bestFit="1" customWidth="1"/>
    <col min="7175" max="7175" width="9.85546875" style="129" customWidth="1"/>
    <col min="7176" max="7176" width="11" style="129" bestFit="1" customWidth="1"/>
    <col min="7177" max="7177" width="10.42578125" style="129" bestFit="1" customWidth="1"/>
    <col min="7178" max="7178" width="8.7109375" style="129" bestFit="1" customWidth="1"/>
    <col min="7179" max="7179" width="10" style="129" bestFit="1" customWidth="1"/>
    <col min="7180" max="7180" width="10.140625" style="129" bestFit="1" customWidth="1"/>
    <col min="7181" max="7181" width="2.42578125" style="129" customWidth="1"/>
    <col min="7182" max="7182" width="3.28515625" style="129" customWidth="1"/>
    <col min="7183" max="7183" width="13.28515625" style="129" bestFit="1" customWidth="1"/>
    <col min="7184" max="7184" width="2.42578125" style="129" customWidth="1"/>
    <col min="7185" max="7185" width="15" style="129" customWidth="1"/>
    <col min="7186" max="7186" width="2.42578125" style="129" customWidth="1"/>
    <col min="7187" max="7187" width="10.7109375" style="129" customWidth="1"/>
    <col min="7188" max="7188" width="3" style="129" customWidth="1"/>
    <col min="7189" max="7189" width="11.42578125" style="129" customWidth="1"/>
    <col min="7190" max="7190" width="3" style="129" customWidth="1"/>
    <col min="7191" max="7191" width="15" style="129" customWidth="1"/>
    <col min="7192" max="7192" width="3" style="129" customWidth="1"/>
    <col min="7193" max="7412" width="0" style="129" hidden="1" customWidth="1"/>
    <col min="7413" max="7423" width="0" style="129" hidden="1"/>
    <col min="7424" max="7424" width="4.42578125" style="129" customWidth="1"/>
    <col min="7425" max="7425" width="11" style="129" customWidth="1"/>
    <col min="7426" max="7426" width="81.42578125" style="129" customWidth="1"/>
    <col min="7427" max="7427" width="11.28515625" style="129" customWidth="1"/>
    <col min="7428" max="7428" width="15" style="129" customWidth="1"/>
    <col min="7429" max="7429" width="15.140625" style="129" customWidth="1"/>
    <col min="7430" max="7430" width="12.140625" style="129" bestFit="1" customWidth="1"/>
    <col min="7431" max="7431" width="9.85546875" style="129" customWidth="1"/>
    <col min="7432" max="7432" width="11" style="129" bestFit="1" customWidth="1"/>
    <col min="7433" max="7433" width="10.42578125" style="129" bestFit="1" customWidth="1"/>
    <col min="7434" max="7434" width="8.7109375" style="129" bestFit="1" customWidth="1"/>
    <col min="7435" max="7435" width="10" style="129" bestFit="1" customWidth="1"/>
    <col min="7436" max="7436" width="10.140625" style="129" bestFit="1" customWidth="1"/>
    <col min="7437" max="7437" width="2.42578125" style="129" customWidth="1"/>
    <col min="7438" max="7438" width="3.28515625" style="129" customWidth="1"/>
    <col min="7439" max="7439" width="13.28515625" style="129" bestFit="1" customWidth="1"/>
    <col min="7440" max="7440" width="2.42578125" style="129" customWidth="1"/>
    <col min="7441" max="7441" width="15" style="129" customWidth="1"/>
    <col min="7442" max="7442" width="2.42578125" style="129" customWidth="1"/>
    <col min="7443" max="7443" width="10.7109375" style="129" customWidth="1"/>
    <col min="7444" max="7444" width="3" style="129" customWidth="1"/>
    <col min="7445" max="7445" width="11.42578125" style="129" customWidth="1"/>
    <col min="7446" max="7446" width="3" style="129" customWidth="1"/>
    <col min="7447" max="7447" width="15" style="129" customWidth="1"/>
    <col min="7448" max="7448" width="3" style="129" customWidth="1"/>
    <col min="7449" max="7668" width="0" style="129" hidden="1" customWidth="1"/>
    <col min="7669" max="7679" width="0" style="129" hidden="1"/>
    <col min="7680" max="7680" width="4.42578125" style="129" customWidth="1"/>
    <col min="7681" max="7681" width="11" style="129" customWidth="1"/>
    <col min="7682" max="7682" width="81.42578125" style="129" customWidth="1"/>
    <col min="7683" max="7683" width="11.28515625" style="129" customWidth="1"/>
    <col min="7684" max="7684" width="15" style="129" customWidth="1"/>
    <col min="7685" max="7685" width="15.140625" style="129" customWidth="1"/>
    <col min="7686" max="7686" width="12.140625" style="129" bestFit="1" customWidth="1"/>
    <col min="7687" max="7687" width="9.85546875" style="129" customWidth="1"/>
    <col min="7688" max="7688" width="11" style="129" bestFit="1" customWidth="1"/>
    <col min="7689" max="7689" width="10.42578125" style="129" bestFit="1" customWidth="1"/>
    <col min="7690" max="7690" width="8.7109375" style="129" bestFit="1" customWidth="1"/>
    <col min="7691" max="7691" width="10" style="129" bestFit="1" customWidth="1"/>
    <col min="7692" max="7692" width="10.140625" style="129" bestFit="1" customWidth="1"/>
    <col min="7693" max="7693" width="2.42578125" style="129" customWidth="1"/>
    <col min="7694" max="7694" width="3.28515625" style="129" customWidth="1"/>
    <col min="7695" max="7695" width="13.28515625" style="129" bestFit="1" customWidth="1"/>
    <col min="7696" max="7696" width="2.42578125" style="129" customWidth="1"/>
    <col min="7697" max="7697" width="15" style="129" customWidth="1"/>
    <col min="7698" max="7698" width="2.42578125" style="129" customWidth="1"/>
    <col min="7699" max="7699" width="10.7109375" style="129" customWidth="1"/>
    <col min="7700" max="7700" width="3" style="129" customWidth="1"/>
    <col min="7701" max="7701" width="11.42578125" style="129" customWidth="1"/>
    <col min="7702" max="7702" width="3" style="129" customWidth="1"/>
    <col min="7703" max="7703" width="15" style="129" customWidth="1"/>
    <col min="7704" max="7704" width="3" style="129" customWidth="1"/>
    <col min="7705" max="7924" width="0" style="129" hidden="1" customWidth="1"/>
    <col min="7925" max="7935" width="0" style="129" hidden="1"/>
    <col min="7936" max="7936" width="4.42578125" style="129" customWidth="1"/>
    <col min="7937" max="7937" width="11" style="129" customWidth="1"/>
    <col min="7938" max="7938" width="81.42578125" style="129" customWidth="1"/>
    <col min="7939" max="7939" width="11.28515625" style="129" customWidth="1"/>
    <col min="7940" max="7940" width="15" style="129" customWidth="1"/>
    <col min="7941" max="7941" width="15.140625" style="129" customWidth="1"/>
    <col min="7942" max="7942" width="12.140625" style="129" bestFit="1" customWidth="1"/>
    <col min="7943" max="7943" width="9.85546875" style="129" customWidth="1"/>
    <col min="7944" max="7944" width="11" style="129" bestFit="1" customWidth="1"/>
    <col min="7945" max="7945" width="10.42578125" style="129" bestFit="1" customWidth="1"/>
    <col min="7946" max="7946" width="8.7109375" style="129" bestFit="1" customWidth="1"/>
    <col min="7947" max="7947" width="10" style="129" bestFit="1" customWidth="1"/>
    <col min="7948" max="7948" width="10.140625" style="129" bestFit="1" customWidth="1"/>
    <col min="7949" max="7949" width="2.42578125" style="129" customWidth="1"/>
    <col min="7950" max="7950" width="3.28515625" style="129" customWidth="1"/>
    <col min="7951" max="7951" width="13.28515625" style="129" bestFit="1" customWidth="1"/>
    <col min="7952" max="7952" width="2.42578125" style="129" customWidth="1"/>
    <col min="7953" max="7953" width="15" style="129" customWidth="1"/>
    <col min="7954" max="7954" width="2.42578125" style="129" customWidth="1"/>
    <col min="7955" max="7955" width="10.7109375" style="129" customWidth="1"/>
    <col min="7956" max="7956" width="3" style="129" customWidth="1"/>
    <col min="7957" max="7957" width="11.42578125" style="129" customWidth="1"/>
    <col min="7958" max="7958" width="3" style="129" customWidth="1"/>
    <col min="7959" max="7959" width="15" style="129" customWidth="1"/>
    <col min="7960" max="7960" width="3" style="129" customWidth="1"/>
    <col min="7961" max="8180" width="0" style="129" hidden="1" customWidth="1"/>
    <col min="8181" max="8191" width="0" style="129" hidden="1"/>
    <col min="8192" max="8192" width="4.42578125" style="129" customWidth="1"/>
    <col min="8193" max="8193" width="11" style="129" customWidth="1"/>
    <col min="8194" max="8194" width="81.42578125" style="129" customWidth="1"/>
    <col min="8195" max="8195" width="11.28515625" style="129" customWidth="1"/>
    <col min="8196" max="8196" width="15" style="129" customWidth="1"/>
    <col min="8197" max="8197" width="15.140625" style="129" customWidth="1"/>
    <col min="8198" max="8198" width="12.140625" style="129" bestFit="1" customWidth="1"/>
    <col min="8199" max="8199" width="9.85546875" style="129" customWidth="1"/>
    <col min="8200" max="8200" width="11" style="129" bestFit="1" customWidth="1"/>
    <col min="8201" max="8201" width="10.42578125" style="129" bestFit="1" customWidth="1"/>
    <col min="8202" max="8202" width="8.7109375" style="129" bestFit="1" customWidth="1"/>
    <col min="8203" max="8203" width="10" style="129" bestFit="1" customWidth="1"/>
    <col min="8204" max="8204" width="10.140625" style="129" bestFit="1" customWidth="1"/>
    <col min="8205" max="8205" width="2.42578125" style="129" customWidth="1"/>
    <col min="8206" max="8206" width="3.28515625" style="129" customWidth="1"/>
    <col min="8207" max="8207" width="13.28515625" style="129" bestFit="1" customWidth="1"/>
    <col min="8208" max="8208" width="2.42578125" style="129" customWidth="1"/>
    <col min="8209" max="8209" width="15" style="129" customWidth="1"/>
    <col min="8210" max="8210" width="2.42578125" style="129" customWidth="1"/>
    <col min="8211" max="8211" width="10.7109375" style="129" customWidth="1"/>
    <col min="8212" max="8212" width="3" style="129" customWidth="1"/>
    <col min="8213" max="8213" width="11.42578125" style="129" customWidth="1"/>
    <col min="8214" max="8214" width="3" style="129" customWidth="1"/>
    <col min="8215" max="8215" width="15" style="129" customWidth="1"/>
    <col min="8216" max="8216" width="3" style="129" customWidth="1"/>
    <col min="8217" max="8436" width="0" style="129" hidden="1" customWidth="1"/>
    <col min="8437" max="8447" width="0" style="129" hidden="1"/>
    <col min="8448" max="8448" width="4.42578125" style="129" customWidth="1"/>
    <col min="8449" max="8449" width="11" style="129" customWidth="1"/>
    <col min="8450" max="8450" width="81.42578125" style="129" customWidth="1"/>
    <col min="8451" max="8451" width="11.28515625" style="129" customWidth="1"/>
    <col min="8452" max="8452" width="15" style="129" customWidth="1"/>
    <col min="8453" max="8453" width="15.140625" style="129" customWidth="1"/>
    <col min="8454" max="8454" width="12.140625" style="129" bestFit="1" customWidth="1"/>
    <col min="8455" max="8455" width="9.85546875" style="129" customWidth="1"/>
    <col min="8456" max="8456" width="11" style="129" bestFit="1" customWidth="1"/>
    <col min="8457" max="8457" width="10.42578125" style="129" bestFit="1" customWidth="1"/>
    <col min="8458" max="8458" width="8.7109375" style="129" bestFit="1" customWidth="1"/>
    <col min="8459" max="8459" width="10" style="129" bestFit="1" customWidth="1"/>
    <col min="8460" max="8460" width="10.140625" style="129" bestFit="1" customWidth="1"/>
    <col min="8461" max="8461" width="2.42578125" style="129" customWidth="1"/>
    <col min="8462" max="8462" width="3.28515625" style="129" customWidth="1"/>
    <col min="8463" max="8463" width="13.28515625" style="129" bestFit="1" customWidth="1"/>
    <col min="8464" max="8464" width="2.42578125" style="129" customWidth="1"/>
    <col min="8465" max="8465" width="15" style="129" customWidth="1"/>
    <col min="8466" max="8466" width="2.42578125" style="129" customWidth="1"/>
    <col min="8467" max="8467" width="10.7109375" style="129" customWidth="1"/>
    <col min="8468" max="8468" width="3" style="129" customWidth="1"/>
    <col min="8469" max="8469" width="11.42578125" style="129" customWidth="1"/>
    <col min="8470" max="8470" width="3" style="129" customWidth="1"/>
    <col min="8471" max="8471" width="15" style="129" customWidth="1"/>
    <col min="8472" max="8472" width="3" style="129" customWidth="1"/>
    <col min="8473" max="8692" width="0" style="129" hidden="1" customWidth="1"/>
    <col min="8693" max="8703" width="0" style="129" hidden="1"/>
    <col min="8704" max="8704" width="4.42578125" style="129" customWidth="1"/>
    <col min="8705" max="8705" width="11" style="129" customWidth="1"/>
    <col min="8706" max="8706" width="81.42578125" style="129" customWidth="1"/>
    <col min="8707" max="8707" width="11.28515625" style="129" customWidth="1"/>
    <col min="8708" max="8708" width="15" style="129" customWidth="1"/>
    <col min="8709" max="8709" width="15.140625" style="129" customWidth="1"/>
    <col min="8710" max="8710" width="12.140625" style="129" bestFit="1" customWidth="1"/>
    <col min="8711" max="8711" width="9.85546875" style="129" customWidth="1"/>
    <col min="8712" max="8712" width="11" style="129" bestFit="1" customWidth="1"/>
    <col min="8713" max="8713" width="10.42578125" style="129" bestFit="1" customWidth="1"/>
    <col min="8714" max="8714" width="8.7109375" style="129" bestFit="1" customWidth="1"/>
    <col min="8715" max="8715" width="10" style="129" bestFit="1" customWidth="1"/>
    <col min="8716" max="8716" width="10.140625" style="129" bestFit="1" customWidth="1"/>
    <col min="8717" max="8717" width="2.42578125" style="129" customWidth="1"/>
    <col min="8718" max="8718" width="3.28515625" style="129" customWidth="1"/>
    <col min="8719" max="8719" width="13.28515625" style="129" bestFit="1" customWidth="1"/>
    <col min="8720" max="8720" width="2.42578125" style="129" customWidth="1"/>
    <col min="8721" max="8721" width="15" style="129" customWidth="1"/>
    <col min="8722" max="8722" width="2.42578125" style="129" customWidth="1"/>
    <col min="8723" max="8723" width="10.7109375" style="129" customWidth="1"/>
    <col min="8724" max="8724" width="3" style="129" customWidth="1"/>
    <col min="8725" max="8725" width="11.42578125" style="129" customWidth="1"/>
    <col min="8726" max="8726" width="3" style="129" customWidth="1"/>
    <col min="8727" max="8727" width="15" style="129" customWidth="1"/>
    <col min="8728" max="8728" width="3" style="129" customWidth="1"/>
    <col min="8729" max="8948" width="0" style="129" hidden="1" customWidth="1"/>
    <col min="8949" max="8959" width="0" style="129" hidden="1"/>
    <col min="8960" max="8960" width="4.42578125" style="129" customWidth="1"/>
    <col min="8961" max="8961" width="11" style="129" customWidth="1"/>
    <col min="8962" max="8962" width="81.42578125" style="129" customWidth="1"/>
    <col min="8963" max="8963" width="11.28515625" style="129" customWidth="1"/>
    <col min="8964" max="8964" width="15" style="129" customWidth="1"/>
    <col min="8965" max="8965" width="15.140625" style="129" customWidth="1"/>
    <col min="8966" max="8966" width="12.140625" style="129" bestFit="1" customWidth="1"/>
    <col min="8967" max="8967" width="9.85546875" style="129" customWidth="1"/>
    <col min="8968" max="8968" width="11" style="129" bestFit="1" customWidth="1"/>
    <col min="8969" max="8969" width="10.42578125" style="129" bestFit="1" customWidth="1"/>
    <col min="8970" max="8970" width="8.7109375" style="129" bestFit="1" customWidth="1"/>
    <col min="8971" max="8971" width="10" style="129" bestFit="1" customWidth="1"/>
    <col min="8972" max="8972" width="10.140625" style="129" bestFit="1" customWidth="1"/>
    <col min="8973" max="8973" width="2.42578125" style="129" customWidth="1"/>
    <col min="8974" max="8974" width="3.28515625" style="129" customWidth="1"/>
    <col min="8975" max="8975" width="13.28515625" style="129" bestFit="1" customWidth="1"/>
    <col min="8976" max="8976" width="2.42578125" style="129" customWidth="1"/>
    <col min="8977" max="8977" width="15" style="129" customWidth="1"/>
    <col min="8978" max="8978" width="2.42578125" style="129" customWidth="1"/>
    <col min="8979" max="8979" width="10.7109375" style="129" customWidth="1"/>
    <col min="8980" max="8980" width="3" style="129" customWidth="1"/>
    <col min="8981" max="8981" width="11.42578125" style="129" customWidth="1"/>
    <col min="8982" max="8982" width="3" style="129" customWidth="1"/>
    <col min="8983" max="8983" width="15" style="129" customWidth="1"/>
    <col min="8984" max="8984" width="3" style="129" customWidth="1"/>
    <col min="8985" max="9204" width="0" style="129" hidden="1" customWidth="1"/>
    <col min="9205" max="9215" width="0" style="129" hidden="1"/>
    <col min="9216" max="9216" width="4.42578125" style="129" customWidth="1"/>
    <col min="9217" max="9217" width="11" style="129" customWidth="1"/>
    <col min="9218" max="9218" width="81.42578125" style="129" customWidth="1"/>
    <col min="9219" max="9219" width="11.28515625" style="129" customWidth="1"/>
    <col min="9220" max="9220" width="15" style="129" customWidth="1"/>
    <col min="9221" max="9221" width="15.140625" style="129" customWidth="1"/>
    <col min="9222" max="9222" width="12.140625" style="129" bestFit="1" customWidth="1"/>
    <col min="9223" max="9223" width="9.85546875" style="129" customWidth="1"/>
    <col min="9224" max="9224" width="11" style="129" bestFit="1" customWidth="1"/>
    <col min="9225" max="9225" width="10.42578125" style="129" bestFit="1" customWidth="1"/>
    <col min="9226" max="9226" width="8.7109375" style="129" bestFit="1" customWidth="1"/>
    <col min="9227" max="9227" width="10" style="129" bestFit="1" customWidth="1"/>
    <col min="9228" max="9228" width="10.140625" style="129" bestFit="1" customWidth="1"/>
    <col min="9229" max="9229" width="2.42578125" style="129" customWidth="1"/>
    <col min="9230" max="9230" width="3.28515625" style="129" customWidth="1"/>
    <col min="9231" max="9231" width="13.28515625" style="129" bestFit="1" customWidth="1"/>
    <col min="9232" max="9232" width="2.42578125" style="129" customWidth="1"/>
    <col min="9233" max="9233" width="15" style="129" customWidth="1"/>
    <col min="9234" max="9234" width="2.42578125" style="129" customWidth="1"/>
    <col min="9235" max="9235" width="10.7109375" style="129" customWidth="1"/>
    <col min="9236" max="9236" width="3" style="129" customWidth="1"/>
    <col min="9237" max="9237" width="11.42578125" style="129" customWidth="1"/>
    <col min="9238" max="9238" width="3" style="129" customWidth="1"/>
    <col min="9239" max="9239" width="15" style="129" customWidth="1"/>
    <col min="9240" max="9240" width="3" style="129" customWidth="1"/>
    <col min="9241" max="9460" width="0" style="129" hidden="1" customWidth="1"/>
    <col min="9461" max="9471" width="0" style="129" hidden="1"/>
    <col min="9472" max="9472" width="4.42578125" style="129" customWidth="1"/>
    <col min="9473" max="9473" width="11" style="129" customWidth="1"/>
    <col min="9474" max="9474" width="81.42578125" style="129" customWidth="1"/>
    <col min="9475" max="9475" width="11.28515625" style="129" customWidth="1"/>
    <col min="9476" max="9476" width="15" style="129" customWidth="1"/>
    <col min="9477" max="9477" width="15.140625" style="129" customWidth="1"/>
    <col min="9478" max="9478" width="12.140625" style="129" bestFit="1" customWidth="1"/>
    <col min="9479" max="9479" width="9.85546875" style="129" customWidth="1"/>
    <col min="9480" max="9480" width="11" style="129" bestFit="1" customWidth="1"/>
    <col min="9481" max="9481" width="10.42578125" style="129" bestFit="1" customWidth="1"/>
    <col min="9482" max="9482" width="8.7109375" style="129" bestFit="1" customWidth="1"/>
    <col min="9483" max="9483" width="10" style="129" bestFit="1" customWidth="1"/>
    <col min="9484" max="9484" width="10.140625" style="129" bestFit="1" customWidth="1"/>
    <col min="9485" max="9485" width="2.42578125" style="129" customWidth="1"/>
    <col min="9486" max="9486" width="3.28515625" style="129" customWidth="1"/>
    <col min="9487" max="9487" width="13.28515625" style="129" bestFit="1" customWidth="1"/>
    <col min="9488" max="9488" width="2.42578125" style="129" customWidth="1"/>
    <col min="9489" max="9489" width="15" style="129" customWidth="1"/>
    <col min="9490" max="9490" width="2.42578125" style="129" customWidth="1"/>
    <col min="9491" max="9491" width="10.7109375" style="129" customWidth="1"/>
    <col min="9492" max="9492" width="3" style="129" customWidth="1"/>
    <col min="9493" max="9493" width="11.42578125" style="129" customWidth="1"/>
    <col min="9494" max="9494" width="3" style="129" customWidth="1"/>
    <col min="9495" max="9495" width="15" style="129" customWidth="1"/>
    <col min="9496" max="9496" width="3" style="129" customWidth="1"/>
    <col min="9497" max="9716" width="0" style="129" hidden="1" customWidth="1"/>
    <col min="9717" max="9727" width="0" style="129" hidden="1"/>
    <col min="9728" max="9728" width="4.42578125" style="129" customWidth="1"/>
    <col min="9729" max="9729" width="11" style="129" customWidth="1"/>
    <col min="9730" max="9730" width="81.42578125" style="129" customWidth="1"/>
    <col min="9731" max="9731" width="11.28515625" style="129" customWidth="1"/>
    <col min="9732" max="9732" width="15" style="129" customWidth="1"/>
    <col min="9733" max="9733" width="15.140625" style="129" customWidth="1"/>
    <col min="9734" max="9734" width="12.140625" style="129" bestFit="1" customWidth="1"/>
    <col min="9735" max="9735" width="9.85546875" style="129" customWidth="1"/>
    <col min="9736" max="9736" width="11" style="129" bestFit="1" customWidth="1"/>
    <col min="9737" max="9737" width="10.42578125" style="129" bestFit="1" customWidth="1"/>
    <col min="9738" max="9738" width="8.7109375" style="129" bestFit="1" customWidth="1"/>
    <col min="9739" max="9739" width="10" style="129" bestFit="1" customWidth="1"/>
    <col min="9740" max="9740" width="10.140625" style="129" bestFit="1" customWidth="1"/>
    <col min="9741" max="9741" width="2.42578125" style="129" customWidth="1"/>
    <col min="9742" max="9742" width="3.28515625" style="129" customWidth="1"/>
    <col min="9743" max="9743" width="13.28515625" style="129" bestFit="1" customWidth="1"/>
    <col min="9744" max="9744" width="2.42578125" style="129" customWidth="1"/>
    <col min="9745" max="9745" width="15" style="129" customWidth="1"/>
    <col min="9746" max="9746" width="2.42578125" style="129" customWidth="1"/>
    <col min="9747" max="9747" width="10.7109375" style="129" customWidth="1"/>
    <col min="9748" max="9748" width="3" style="129" customWidth="1"/>
    <col min="9749" max="9749" width="11.42578125" style="129" customWidth="1"/>
    <col min="9750" max="9750" width="3" style="129" customWidth="1"/>
    <col min="9751" max="9751" width="15" style="129" customWidth="1"/>
    <col min="9752" max="9752" width="3" style="129" customWidth="1"/>
    <col min="9753" max="9972" width="0" style="129" hidden="1" customWidth="1"/>
    <col min="9973" max="9983" width="0" style="129" hidden="1"/>
    <col min="9984" max="9984" width="4.42578125" style="129" customWidth="1"/>
    <col min="9985" max="9985" width="11" style="129" customWidth="1"/>
    <col min="9986" max="9986" width="81.42578125" style="129" customWidth="1"/>
    <col min="9987" max="9987" width="11.28515625" style="129" customWidth="1"/>
    <col min="9988" max="9988" width="15" style="129" customWidth="1"/>
    <col min="9989" max="9989" width="15.140625" style="129" customWidth="1"/>
    <col min="9990" max="9990" width="12.140625" style="129" bestFit="1" customWidth="1"/>
    <col min="9991" max="9991" width="9.85546875" style="129" customWidth="1"/>
    <col min="9992" max="9992" width="11" style="129" bestFit="1" customWidth="1"/>
    <col min="9993" max="9993" width="10.42578125" style="129" bestFit="1" customWidth="1"/>
    <col min="9994" max="9994" width="8.7109375" style="129" bestFit="1" customWidth="1"/>
    <col min="9995" max="9995" width="10" style="129" bestFit="1" customWidth="1"/>
    <col min="9996" max="9996" width="10.140625" style="129" bestFit="1" customWidth="1"/>
    <col min="9997" max="9997" width="2.42578125" style="129" customWidth="1"/>
    <col min="9998" max="9998" width="3.28515625" style="129" customWidth="1"/>
    <col min="9999" max="9999" width="13.28515625" style="129" bestFit="1" customWidth="1"/>
    <col min="10000" max="10000" width="2.42578125" style="129" customWidth="1"/>
    <col min="10001" max="10001" width="15" style="129" customWidth="1"/>
    <col min="10002" max="10002" width="2.42578125" style="129" customWidth="1"/>
    <col min="10003" max="10003" width="10.7109375" style="129" customWidth="1"/>
    <col min="10004" max="10004" width="3" style="129" customWidth="1"/>
    <col min="10005" max="10005" width="11.42578125" style="129" customWidth="1"/>
    <col min="10006" max="10006" width="3" style="129" customWidth="1"/>
    <col min="10007" max="10007" width="15" style="129" customWidth="1"/>
    <col min="10008" max="10008" width="3" style="129" customWidth="1"/>
    <col min="10009" max="10228" width="0" style="129" hidden="1" customWidth="1"/>
    <col min="10229" max="10239" width="0" style="129" hidden="1"/>
    <col min="10240" max="10240" width="4.42578125" style="129" customWidth="1"/>
    <col min="10241" max="10241" width="11" style="129" customWidth="1"/>
    <col min="10242" max="10242" width="81.42578125" style="129" customWidth="1"/>
    <col min="10243" max="10243" width="11.28515625" style="129" customWidth="1"/>
    <col min="10244" max="10244" width="15" style="129" customWidth="1"/>
    <col min="10245" max="10245" width="15.140625" style="129" customWidth="1"/>
    <col min="10246" max="10246" width="12.140625" style="129" bestFit="1" customWidth="1"/>
    <col min="10247" max="10247" width="9.85546875" style="129" customWidth="1"/>
    <col min="10248" max="10248" width="11" style="129" bestFit="1" customWidth="1"/>
    <col min="10249" max="10249" width="10.42578125" style="129" bestFit="1" customWidth="1"/>
    <col min="10250" max="10250" width="8.7109375" style="129" bestFit="1" customWidth="1"/>
    <col min="10251" max="10251" width="10" style="129" bestFit="1" customWidth="1"/>
    <col min="10252" max="10252" width="10.140625" style="129" bestFit="1" customWidth="1"/>
    <col min="10253" max="10253" width="2.42578125" style="129" customWidth="1"/>
    <col min="10254" max="10254" width="3.28515625" style="129" customWidth="1"/>
    <col min="10255" max="10255" width="13.28515625" style="129" bestFit="1" customWidth="1"/>
    <col min="10256" max="10256" width="2.42578125" style="129" customWidth="1"/>
    <col min="10257" max="10257" width="15" style="129" customWidth="1"/>
    <col min="10258" max="10258" width="2.42578125" style="129" customWidth="1"/>
    <col min="10259" max="10259" width="10.7109375" style="129" customWidth="1"/>
    <col min="10260" max="10260" width="3" style="129" customWidth="1"/>
    <col min="10261" max="10261" width="11.42578125" style="129" customWidth="1"/>
    <col min="10262" max="10262" width="3" style="129" customWidth="1"/>
    <col min="10263" max="10263" width="15" style="129" customWidth="1"/>
    <col min="10264" max="10264" width="3" style="129" customWidth="1"/>
    <col min="10265" max="10484" width="0" style="129" hidden="1" customWidth="1"/>
    <col min="10485" max="10495" width="0" style="129" hidden="1"/>
    <col min="10496" max="10496" width="4.42578125" style="129" customWidth="1"/>
    <col min="10497" max="10497" width="11" style="129" customWidth="1"/>
    <col min="10498" max="10498" width="81.42578125" style="129" customWidth="1"/>
    <col min="10499" max="10499" width="11.28515625" style="129" customWidth="1"/>
    <col min="10500" max="10500" width="15" style="129" customWidth="1"/>
    <col min="10501" max="10501" width="15.140625" style="129" customWidth="1"/>
    <col min="10502" max="10502" width="12.140625" style="129" bestFit="1" customWidth="1"/>
    <col min="10503" max="10503" width="9.85546875" style="129" customWidth="1"/>
    <col min="10504" max="10504" width="11" style="129" bestFit="1" customWidth="1"/>
    <col min="10505" max="10505" width="10.42578125" style="129" bestFit="1" customWidth="1"/>
    <col min="10506" max="10506" width="8.7109375" style="129" bestFit="1" customWidth="1"/>
    <col min="10507" max="10507" width="10" style="129" bestFit="1" customWidth="1"/>
    <col min="10508" max="10508" width="10.140625" style="129" bestFit="1" customWidth="1"/>
    <col min="10509" max="10509" width="2.42578125" style="129" customWidth="1"/>
    <col min="10510" max="10510" width="3.28515625" style="129" customWidth="1"/>
    <col min="10511" max="10511" width="13.28515625" style="129" bestFit="1" customWidth="1"/>
    <col min="10512" max="10512" width="2.42578125" style="129" customWidth="1"/>
    <col min="10513" max="10513" width="15" style="129" customWidth="1"/>
    <col min="10514" max="10514" width="2.42578125" style="129" customWidth="1"/>
    <col min="10515" max="10515" width="10.7109375" style="129" customWidth="1"/>
    <col min="10516" max="10516" width="3" style="129" customWidth="1"/>
    <col min="10517" max="10517" width="11.42578125" style="129" customWidth="1"/>
    <col min="10518" max="10518" width="3" style="129" customWidth="1"/>
    <col min="10519" max="10519" width="15" style="129" customWidth="1"/>
    <col min="10520" max="10520" width="3" style="129" customWidth="1"/>
    <col min="10521" max="10740" width="0" style="129" hidden="1" customWidth="1"/>
    <col min="10741" max="10751" width="0" style="129" hidden="1"/>
    <col min="10752" max="10752" width="4.42578125" style="129" customWidth="1"/>
    <col min="10753" max="10753" width="11" style="129" customWidth="1"/>
    <col min="10754" max="10754" width="81.42578125" style="129" customWidth="1"/>
    <col min="10755" max="10755" width="11.28515625" style="129" customWidth="1"/>
    <col min="10756" max="10756" width="15" style="129" customWidth="1"/>
    <col min="10757" max="10757" width="15.140625" style="129" customWidth="1"/>
    <col min="10758" max="10758" width="12.140625" style="129" bestFit="1" customWidth="1"/>
    <col min="10759" max="10759" width="9.85546875" style="129" customWidth="1"/>
    <col min="10760" max="10760" width="11" style="129" bestFit="1" customWidth="1"/>
    <col min="10761" max="10761" width="10.42578125" style="129" bestFit="1" customWidth="1"/>
    <col min="10762" max="10762" width="8.7109375" style="129" bestFit="1" customWidth="1"/>
    <col min="10763" max="10763" width="10" style="129" bestFit="1" customWidth="1"/>
    <col min="10764" max="10764" width="10.140625" style="129" bestFit="1" customWidth="1"/>
    <col min="10765" max="10765" width="2.42578125" style="129" customWidth="1"/>
    <col min="10766" max="10766" width="3.28515625" style="129" customWidth="1"/>
    <col min="10767" max="10767" width="13.28515625" style="129" bestFit="1" customWidth="1"/>
    <col min="10768" max="10768" width="2.42578125" style="129" customWidth="1"/>
    <col min="10769" max="10769" width="15" style="129" customWidth="1"/>
    <col min="10770" max="10770" width="2.42578125" style="129" customWidth="1"/>
    <col min="10771" max="10771" width="10.7109375" style="129" customWidth="1"/>
    <col min="10772" max="10772" width="3" style="129" customWidth="1"/>
    <col min="10773" max="10773" width="11.42578125" style="129" customWidth="1"/>
    <col min="10774" max="10774" width="3" style="129" customWidth="1"/>
    <col min="10775" max="10775" width="15" style="129" customWidth="1"/>
    <col min="10776" max="10776" width="3" style="129" customWidth="1"/>
    <col min="10777" max="10996" width="0" style="129" hidden="1" customWidth="1"/>
    <col min="10997" max="11007" width="0" style="129" hidden="1"/>
    <col min="11008" max="11008" width="4.42578125" style="129" customWidth="1"/>
    <col min="11009" max="11009" width="11" style="129" customWidth="1"/>
    <col min="11010" max="11010" width="81.42578125" style="129" customWidth="1"/>
    <col min="11011" max="11011" width="11.28515625" style="129" customWidth="1"/>
    <col min="11012" max="11012" width="15" style="129" customWidth="1"/>
    <col min="11013" max="11013" width="15.140625" style="129" customWidth="1"/>
    <col min="11014" max="11014" width="12.140625" style="129" bestFit="1" customWidth="1"/>
    <col min="11015" max="11015" width="9.85546875" style="129" customWidth="1"/>
    <col min="11016" max="11016" width="11" style="129" bestFit="1" customWidth="1"/>
    <col min="11017" max="11017" width="10.42578125" style="129" bestFit="1" customWidth="1"/>
    <col min="11018" max="11018" width="8.7109375" style="129" bestFit="1" customWidth="1"/>
    <col min="11019" max="11019" width="10" style="129" bestFit="1" customWidth="1"/>
    <col min="11020" max="11020" width="10.140625" style="129" bestFit="1" customWidth="1"/>
    <col min="11021" max="11021" width="2.42578125" style="129" customWidth="1"/>
    <col min="11022" max="11022" width="3.28515625" style="129" customWidth="1"/>
    <col min="11023" max="11023" width="13.28515625" style="129" bestFit="1" customWidth="1"/>
    <col min="11024" max="11024" width="2.42578125" style="129" customWidth="1"/>
    <col min="11025" max="11025" width="15" style="129" customWidth="1"/>
    <col min="11026" max="11026" width="2.42578125" style="129" customWidth="1"/>
    <col min="11027" max="11027" width="10.7109375" style="129" customWidth="1"/>
    <col min="11028" max="11028" width="3" style="129" customWidth="1"/>
    <col min="11029" max="11029" width="11.42578125" style="129" customWidth="1"/>
    <col min="11030" max="11030" width="3" style="129" customWidth="1"/>
    <col min="11031" max="11031" width="15" style="129" customWidth="1"/>
    <col min="11032" max="11032" width="3" style="129" customWidth="1"/>
    <col min="11033" max="11252" width="0" style="129" hidden="1" customWidth="1"/>
    <col min="11253" max="11263" width="0" style="129" hidden="1"/>
    <col min="11264" max="11264" width="4.42578125" style="129" customWidth="1"/>
    <col min="11265" max="11265" width="11" style="129" customWidth="1"/>
    <col min="11266" max="11266" width="81.42578125" style="129" customWidth="1"/>
    <col min="11267" max="11267" width="11.28515625" style="129" customWidth="1"/>
    <col min="11268" max="11268" width="15" style="129" customWidth="1"/>
    <col min="11269" max="11269" width="15.140625" style="129" customWidth="1"/>
    <col min="11270" max="11270" width="12.140625" style="129" bestFit="1" customWidth="1"/>
    <col min="11271" max="11271" width="9.85546875" style="129" customWidth="1"/>
    <col min="11272" max="11272" width="11" style="129" bestFit="1" customWidth="1"/>
    <col min="11273" max="11273" width="10.42578125" style="129" bestFit="1" customWidth="1"/>
    <col min="11274" max="11274" width="8.7109375" style="129" bestFit="1" customWidth="1"/>
    <col min="11275" max="11275" width="10" style="129" bestFit="1" customWidth="1"/>
    <col min="11276" max="11276" width="10.140625" style="129" bestFit="1" customWidth="1"/>
    <col min="11277" max="11277" width="2.42578125" style="129" customWidth="1"/>
    <col min="11278" max="11278" width="3.28515625" style="129" customWidth="1"/>
    <col min="11279" max="11279" width="13.28515625" style="129" bestFit="1" customWidth="1"/>
    <col min="11280" max="11280" width="2.42578125" style="129" customWidth="1"/>
    <col min="11281" max="11281" width="15" style="129" customWidth="1"/>
    <col min="11282" max="11282" width="2.42578125" style="129" customWidth="1"/>
    <col min="11283" max="11283" width="10.7109375" style="129" customWidth="1"/>
    <col min="11284" max="11284" width="3" style="129" customWidth="1"/>
    <col min="11285" max="11285" width="11.42578125" style="129" customWidth="1"/>
    <col min="11286" max="11286" width="3" style="129" customWidth="1"/>
    <col min="11287" max="11287" width="15" style="129" customWidth="1"/>
    <col min="11288" max="11288" width="3" style="129" customWidth="1"/>
    <col min="11289" max="11508" width="0" style="129" hidden="1" customWidth="1"/>
    <col min="11509" max="11519" width="0" style="129" hidden="1"/>
    <col min="11520" max="11520" width="4.42578125" style="129" customWidth="1"/>
    <col min="11521" max="11521" width="11" style="129" customWidth="1"/>
    <col min="11522" max="11522" width="81.42578125" style="129" customWidth="1"/>
    <col min="11523" max="11523" width="11.28515625" style="129" customWidth="1"/>
    <col min="11524" max="11524" width="15" style="129" customWidth="1"/>
    <col min="11525" max="11525" width="15.140625" style="129" customWidth="1"/>
    <col min="11526" max="11526" width="12.140625" style="129" bestFit="1" customWidth="1"/>
    <col min="11527" max="11527" width="9.85546875" style="129" customWidth="1"/>
    <col min="11528" max="11528" width="11" style="129" bestFit="1" customWidth="1"/>
    <col min="11529" max="11529" width="10.42578125" style="129" bestFit="1" customWidth="1"/>
    <col min="11530" max="11530" width="8.7109375" style="129" bestFit="1" customWidth="1"/>
    <col min="11531" max="11531" width="10" style="129" bestFit="1" customWidth="1"/>
    <col min="11532" max="11532" width="10.140625" style="129" bestFit="1" customWidth="1"/>
    <col min="11533" max="11533" width="2.42578125" style="129" customWidth="1"/>
    <col min="11534" max="11534" width="3.28515625" style="129" customWidth="1"/>
    <col min="11535" max="11535" width="13.28515625" style="129" bestFit="1" customWidth="1"/>
    <col min="11536" max="11536" width="2.42578125" style="129" customWidth="1"/>
    <col min="11537" max="11537" width="15" style="129" customWidth="1"/>
    <col min="11538" max="11538" width="2.42578125" style="129" customWidth="1"/>
    <col min="11539" max="11539" width="10.7109375" style="129" customWidth="1"/>
    <col min="11540" max="11540" width="3" style="129" customWidth="1"/>
    <col min="11541" max="11541" width="11.42578125" style="129" customWidth="1"/>
    <col min="11542" max="11542" width="3" style="129" customWidth="1"/>
    <col min="11543" max="11543" width="15" style="129" customWidth="1"/>
    <col min="11544" max="11544" width="3" style="129" customWidth="1"/>
    <col min="11545" max="11764" width="0" style="129" hidden="1" customWidth="1"/>
    <col min="11765" max="11775" width="0" style="129" hidden="1"/>
    <col min="11776" max="11776" width="4.42578125" style="129" customWidth="1"/>
    <col min="11777" max="11777" width="11" style="129" customWidth="1"/>
    <col min="11778" max="11778" width="81.42578125" style="129" customWidth="1"/>
    <col min="11779" max="11779" width="11.28515625" style="129" customWidth="1"/>
    <col min="11780" max="11780" width="15" style="129" customWidth="1"/>
    <col min="11781" max="11781" width="15.140625" style="129" customWidth="1"/>
    <col min="11782" max="11782" width="12.140625" style="129" bestFit="1" customWidth="1"/>
    <col min="11783" max="11783" width="9.85546875" style="129" customWidth="1"/>
    <col min="11784" max="11784" width="11" style="129" bestFit="1" customWidth="1"/>
    <col min="11785" max="11785" width="10.42578125" style="129" bestFit="1" customWidth="1"/>
    <col min="11786" max="11786" width="8.7109375" style="129" bestFit="1" customWidth="1"/>
    <col min="11787" max="11787" width="10" style="129" bestFit="1" customWidth="1"/>
    <col min="11788" max="11788" width="10.140625" style="129" bestFit="1" customWidth="1"/>
    <col min="11789" max="11789" width="2.42578125" style="129" customWidth="1"/>
    <col min="11790" max="11790" width="3.28515625" style="129" customWidth="1"/>
    <col min="11791" max="11791" width="13.28515625" style="129" bestFit="1" customWidth="1"/>
    <col min="11792" max="11792" width="2.42578125" style="129" customWidth="1"/>
    <col min="11793" max="11793" width="15" style="129" customWidth="1"/>
    <col min="11794" max="11794" width="2.42578125" style="129" customWidth="1"/>
    <col min="11795" max="11795" width="10.7109375" style="129" customWidth="1"/>
    <col min="11796" max="11796" width="3" style="129" customWidth="1"/>
    <col min="11797" max="11797" width="11.42578125" style="129" customWidth="1"/>
    <col min="11798" max="11798" width="3" style="129" customWidth="1"/>
    <col min="11799" max="11799" width="15" style="129" customWidth="1"/>
    <col min="11800" max="11800" width="3" style="129" customWidth="1"/>
    <col min="11801" max="12020" width="0" style="129" hidden="1" customWidth="1"/>
    <col min="12021" max="12031" width="0" style="129" hidden="1"/>
    <col min="12032" max="12032" width="4.42578125" style="129" customWidth="1"/>
    <col min="12033" max="12033" width="11" style="129" customWidth="1"/>
    <col min="12034" max="12034" width="81.42578125" style="129" customWidth="1"/>
    <col min="12035" max="12035" width="11.28515625" style="129" customWidth="1"/>
    <col min="12036" max="12036" width="15" style="129" customWidth="1"/>
    <col min="12037" max="12037" width="15.140625" style="129" customWidth="1"/>
    <col min="12038" max="12038" width="12.140625" style="129" bestFit="1" customWidth="1"/>
    <col min="12039" max="12039" width="9.85546875" style="129" customWidth="1"/>
    <col min="12040" max="12040" width="11" style="129" bestFit="1" customWidth="1"/>
    <col min="12041" max="12041" width="10.42578125" style="129" bestFit="1" customWidth="1"/>
    <col min="12042" max="12042" width="8.7109375" style="129" bestFit="1" customWidth="1"/>
    <col min="12043" max="12043" width="10" style="129" bestFit="1" customWidth="1"/>
    <col min="12044" max="12044" width="10.140625" style="129" bestFit="1" customWidth="1"/>
    <col min="12045" max="12045" width="2.42578125" style="129" customWidth="1"/>
    <col min="12046" max="12046" width="3.28515625" style="129" customWidth="1"/>
    <col min="12047" max="12047" width="13.28515625" style="129" bestFit="1" customWidth="1"/>
    <col min="12048" max="12048" width="2.42578125" style="129" customWidth="1"/>
    <col min="12049" max="12049" width="15" style="129" customWidth="1"/>
    <col min="12050" max="12050" width="2.42578125" style="129" customWidth="1"/>
    <col min="12051" max="12051" width="10.7109375" style="129" customWidth="1"/>
    <col min="12052" max="12052" width="3" style="129" customWidth="1"/>
    <col min="12053" max="12053" width="11.42578125" style="129" customWidth="1"/>
    <col min="12054" max="12054" width="3" style="129" customWidth="1"/>
    <col min="12055" max="12055" width="15" style="129" customWidth="1"/>
    <col min="12056" max="12056" width="3" style="129" customWidth="1"/>
    <col min="12057" max="12276" width="0" style="129" hidden="1" customWidth="1"/>
    <col min="12277" max="12287" width="0" style="129" hidden="1"/>
    <col min="12288" max="12288" width="4.42578125" style="129" customWidth="1"/>
    <col min="12289" max="12289" width="11" style="129" customWidth="1"/>
    <col min="12290" max="12290" width="81.42578125" style="129" customWidth="1"/>
    <col min="12291" max="12291" width="11.28515625" style="129" customWidth="1"/>
    <col min="12292" max="12292" width="15" style="129" customWidth="1"/>
    <col min="12293" max="12293" width="15.140625" style="129" customWidth="1"/>
    <col min="12294" max="12294" width="12.140625" style="129" bestFit="1" customWidth="1"/>
    <col min="12295" max="12295" width="9.85546875" style="129" customWidth="1"/>
    <col min="12296" max="12296" width="11" style="129" bestFit="1" customWidth="1"/>
    <col min="12297" max="12297" width="10.42578125" style="129" bestFit="1" customWidth="1"/>
    <col min="12298" max="12298" width="8.7109375" style="129" bestFit="1" customWidth="1"/>
    <col min="12299" max="12299" width="10" style="129" bestFit="1" customWidth="1"/>
    <col min="12300" max="12300" width="10.140625" style="129" bestFit="1" customWidth="1"/>
    <col min="12301" max="12301" width="2.42578125" style="129" customWidth="1"/>
    <col min="12302" max="12302" width="3.28515625" style="129" customWidth="1"/>
    <col min="12303" max="12303" width="13.28515625" style="129" bestFit="1" customWidth="1"/>
    <col min="12304" max="12304" width="2.42578125" style="129" customWidth="1"/>
    <col min="12305" max="12305" width="15" style="129" customWidth="1"/>
    <col min="12306" max="12306" width="2.42578125" style="129" customWidth="1"/>
    <col min="12307" max="12307" width="10.7109375" style="129" customWidth="1"/>
    <col min="12308" max="12308" width="3" style="129" customWidth="1"/>
    <col min="12309" max="12309" width="11.42578125" style="129" customWidth="1"/>
    <col min="12310" max="12310" width="3" style="129" customWidth="1"/>
    <col min="12311" max="12311" width="15" style="129" customWidth="1"/>
    <col min="12312" max="12312" width="3" style="129" customWidth="1"/>
    <col min="12313" max="12532" width="0" style="129" hidden="1" customWidth="1"/>
    <col min="12533" max="12543" width="0" style="129" hidden="1"/>
    <col min="12544" max="12544" width="4.42578125" style="129" customWidth="1"/>
    <col min="12545" max="12545" width="11" style="129" customWidth="1"/>
    <col min="12546" max="12546" width="81.42578125" style="129" customWidth="1"/>
    <col min="12547" max="12547" width="11.28515625" style="129" customWidth="1"/>
    <col min="12548" max="12548" width="15" style="129" customWidth="1"/>
    <col min="12549" max="12549" width="15.140625" style="129" customWidth="1"/>
    <col min="12550" max="12550" width="12.140625" style="129" bestFit="1" customWidth="1"/>
    <col min="12551" max="12551" width="9.85546875" style="129" customWidth="1"/>
    <col min="12552" max="12552" width="11" style="129" bestFit="1" customWidth="1"/>
    <col min="12553" max="12553" width="10.42578125" style="129" bestFit="1" customWidth="1"/>
    <col min="12554" max="12554" width="8.7109375" style="129" bestFit="1" customWidth="1"/>
    <col min="12555" max="12555" width="10" style="129" bestFit="1" customWidth="1"/>
    <col min="12556" max="12556" width="10.140625" style="129" bestFit="1" customWidth="1"/>
    <col min="12557" max="12557" width="2.42578125" style="129" customWidth="1"/>
    <col min="12558" max="12558" width="3.28515625" style="129" customWidth="1"/>
    <col min="12559" max="12559" width="13.28515625" style="129" bestFit="1" customWidth="1"/>
    <col min="12560" max="12560" width="2.42578125" style="129" customWidth="1"/>
    <col min="12561" max="12561" width="15" style="129" customWidth="1"/>
    <col min="12562" max="12562" width="2.42578125" style="129" customWidth="1"/>
    <col min="12563" max="12563" width="10.7109375" style="129" customWidth="1"/>
    <col min="12564" max="12564" width="3" style="129" customWidth="1"/>
    <col min="12565" max="12565" width="11.42578125" style="129" customWidth="1"/>
    <col min="12566" max="12566" width="3" style="129" customWidth="1"/>
    <col min="12567" max="12567" width="15" style="129" customWidth="1"/>
    <col min="12568" max="12568" width="3" style="129" customWidth="1"/>
    <col min="12569" max="12788" width="0" style="129" hidden="1" customWidth="1"/>
    <col min="12789" max="12799" width="0" style="129" hidden="1"/>
    <col min="12800" max="12800" width="4.42578125" style="129" customWidth="1"/>
    <col min="12801" max="12801" width="11" style="129" customWidth="1"/>
    <col min="12802" max="12802" width="81.42578125" style="129" customWidth="1"/>
    <col min="12803" max="12803" width="11.28515625" style="129" customWidth="1"/>
    <col min="12804" max="12804" width="15" style="129" customWidth="1"/>
    <col min="12805" max="12805" width="15.140625" style="129" customWidth="1"/>
    <col min="12806" max="12806" width="12.140625" style="129" bestFit="1" customWidth="1"/>
    <col min="12807" max="12807" width="9.85546875" style="129" customWidth="1"/>
    <col min="12808" max="12808" width="11" style="129" bestFit="1" customWidth="1"/>
    <col min="12809" max="12809" width="10.42578125" style="129" bestFit="1" customWidth="1"/>
    <col min="12810" max="12810" width="8.7109375" style="129" bestFit="1" customWidth="1"/>
    <col min="12811" max="12811" width="10" style="129" bestFit="1" customWidth="1"/>
    <col min="12812" max="12812" width="10.140625" style="129" bestFit="1" customWidth="1"/>
    <col min="12813" max="12813" width="2.42578125" style="129" customWidth="1"/>
    <col min="12814" max="12814" width="3.28515625" style="129" customWidth="1"/>
    <col min="12815" max="12815" width="13.28515625" style="129" bestFit="1" customWidth="1"/>
    <col min="12816" max="12816" width="2.42578125" style="129" customWidth="1"/>
    <col min="12817" max="12817" width="15" style="129" customWidth="1"/>
    <col min="12818" max="12818" width="2.42578125" style="129" customWidth="1"/>
    <col min="12819" max="12819" width="10.7109375" style="129" customWidth="1"/>
    <col min="12820" max="12820" width="3" style="129" customWidth="1"/>
    <col min="12821" max="12821" width="11.42578125" style="129" customWidth="1"/>
    <col min="12822" max="12822" width="3" style="129" customWidth="1"/>
    <col min="12823" max="12823" width="15" style="129" customWidth="1"/>
    <col min="12824" max="12824" width="3" style="129" customWidth="1"/>
    <col min="12825" max="13044" width="0" style="129" hidden="1" customWidth="1"/>
    <col min="13045" max="13055" width="0" style="129" hidden="1"/>
    <col min="13056" max="13056" width="4.42578125" style="129" customWidth="1"/>
    <col min="13057" max="13057" width="11" style="129" customWidth="1"/>
    <col min="13058" max="13058" width="81.42578125" style="129" customWidth="1"/>
    <col min="13059" max="13059" width="11.28515625" style="129" customWidth="1"/>
    <col min="13060" max="13060" width="15" style="129" customWidth="1"/>
    <col min="13061" max="13061" width="15.140625" style="129" customWidth="1"/>
    <col min="13062" max="13062" width="12.140625" style="129" bestFit="1" customWidth="1"/>
    <col min="13063" max="13063" width="9.85546875" style="129" customWidth="1"/>
    <col min="13064" max="13064" width="11" style="129" bestFit="1" customWidth="1"/>
    <col min="13065" max="13065" width="10.42578125" style="129" bestFit="1" customWidth="1"/>
    <col min="13066" max="13066" width="8.7109375" style="129" bestFit="1" customWidth="1"/>
    <col min="13067" max="13067" width="10" style="129" bestFit="1" customWidth="1"/>
    <col min="13068" max="13068" width="10.140625" style="129" bestFit="1" customWidth="1"/>
    <col min="13069" max="13069" width="2.42578125" style="129" customWidth="1"/>
    <col min="13070" max="13070" width="3.28515625" style="129" customWidth="1"/>
    <col min="13071" max="13071" width="13.28515625" style="129" bestFit="1" customWidth="1"/>
    <col min="13072" max="13072" width="2.42578125" style="129" customWidth="1"/>
    <col min="13073" max="13073" width="15" style="129" customWidth="1"/>
    <col min="13074" max="13074" width="2.42578125" style="129" customWidth="1"/>
    <col min="13075" max="13075" width="10.7109375" style="129" customWidth="1"/>
    <col min="13076" max="13076" width="3" style="129" customWidth="1"/>
    <col min="13077" max="13077" width="11.42578125" style="129" customWidth="1"/>
    <col min="13078" max="13078" width="3" style="129" customWidth="1"/>
    <col min="13079" max="13079" width="15" style="129" customWidth="1"/>
    <col min="13080" max="13080" width="3" style="129" customWidth="1"/>
    <col min="13081" max="13300" width="0" style="129" hidden="1" customWidth="1"/>
    <col min="13301" max="13311" width="0" style="129" hidden="1"/>
    <col min="13312" max="13312" width="4.42578125" style="129" customWidth="1"/>
    <col min="13313" max="13313" width="11" style="129" customWidth="1"/>
    <col min="13314" max="13314" width="81.42578125" style="129" customWidth="1"/>
    <col min="13315" max="13315" width="11.28515625" style="129" customWidth="1"/>
    <col min="13316" max="13316" width="15" style="129" customWidth="1"/>
    <col min="13317" max="13317" width="15.140625" style="129" customWidth="1"/>
    <col min="13318" max="13318" width="12.140625" style="129" bestFit="1" customWidth="1"/>
    <col min="13319" max="13319" width="9.85546875" style="129" customWidth="1"/>
    <col min="13320" max="13320" width="11" style="129" bestFit="1" customWidth="1"/>
    <col min="13321" max="13321" width="10.42578125" style="129" bestFit="1" customWidth="1"/>
    <col min="13322" max="13322" width="8.7109375" style="129" bestFit="1" customWidth="1"/>
    <col min="13323" max="13323" width="10" style="129" bestFit="1" customWidth="1"/>
    <col min="13324" max="13324" width="10.140625" style="129" bestFit="1" customWidth="1"/>
    <col min="13325" max="13325" width="2.42578125" style="129" customWidth="1"/>
    <col min="13326" max="13326" width="3.28515625" style="129" customWidth="1"/>
    <col min="13327" max="13327" width="13.28515625" style="129" bestFit="1" customWidth="1"/>
    <col min="13328" max="13328" width="2.42578125" style="129" customWidth="1"/>
    <col min="13329" max="13329" width="15" style="129" customWidth="1"/>
    <col min="13330" max="13330" width="2.42578125" style="129" customWidth="1"/>
    <col min="13331" max="13331" width="10.7109375" style="129" customWidth="1"/>
    <col min="13332" max="13332" width="3" style="129" customWidth="1"/>
    <col min="13333" max="13333" width="11.42578125" style="129" customWidth="1"/>
    <col min="13334" max="13334" width="3" style="129" customWidth="1"/>
    <col min="13335" max="13335" width="15" style="129" customWidth="1"/>
    <col min="13336" max="13336" width="3" style="129" customWidth="1"/>
    <col min="13337" max="13556" width="0" style="129" hidden="1" customWidth="1"/>
    <col min="13557" max="13567" width="0" style="129" hidden="1"/>
    <col min="13568" max="13568" width="4.42578125" style="129" customWidth="1"/>
    <col min="13569" max="13569" width="11" style="129" customWidth="1"/>
    <col min="13570" max="13570" width="81.42578125" style="129" customWidth="1"/>
    <col min="13571" max="13571" width="11.28515625" style="129" customWidth="1"/>
    <col min="13572" max="13572" width="15" style="129" customWidth="1"/>
    <col min="13573" max="13573" width="15.140625" style="129" customWidth="1"/>
    <col min="13574" max="13574" width="12.140625" style="129" bestFit="1" customWidth="1"/>
    <col min="13575" max="13575" width="9.85546875" style="129" customWidth="1"/>
    <col min="13576" max="13576" width="11" style="129" bestFit="1" customWidth="1"/>
    <col min="13577" max="13577" width="10.42578125" style="129" bestFit="1" customWidth="1"/>
    <col min="13578" max="13578" width="8.7109375" style="129" bestFit="1" customWidth="1"/>
    <col min="13579" max="13579" width="10" style="129" bestFit="1" customWidth="1"/>
    <col min="13580" max="13580" width="10.140625" style="129" bestFit="1" customWidth="1"/>
    <col min="13581" max="13581" width="2.42578125" style="129" customWidth="1"/>
    <col min="13582" max="13582" width="3.28515625" style="129" customWidth="1"/>
    <col min="13583" max="13583" width="13.28515625" style="129" bestFit="1" customWidth="1"/>
    <col min="13584" max="13584" width="2.42578125" style="129" customWidth="1"/>
    <col min="13585" max="13585" width="15" style="129" customWidth="1"/>
    <col min="13586" max="13586" width="2.42578125" style="129" customWidth="1"/>
    <col min="13587" max="13587" width="10.7109375" style="129" customWidth="1"/>
    <col min="13588" max="13588" width="3" style="129" customWidth="1"/>
    <col min="13589" max="13589" width="11.42578125" style="129" customWidth="1"/>
    <col min="13590" max="13590" width="3" style="129" customWidth="1"/>
    <col min="13591" max="13591" width="15" style="129" customWidth="1"/>
    <col min="13592" max="13592" width="3" style="129" customWidth="1"/>
    <col min="13593" max="13812" width="0" style="129" hidden="1" customWidth="1"/>
    <col min="13813" max="13823" width="0" style="129" hidden="1"/>
    <col min="13824" max="13824" width="4.42578125" style="129" customWidth="1"/>
    <col min="13825" max="13825" width="11" style="129" customWidth="1"/>
    <col min="13826" max="13826" width="81.42578125" style="129" customWidth="1"/>
    <col min="13827" max="13827" width="11.28515625" style="129" customWidth="1"/>
    <col min="13828" max="13828" width="15" style="129" customWidth="1"/>
    <col min="13829" max="13829" width="15.140625" style="129" customWidth="1"/>
    <col min="13830" max="13830" width="12.140625" style="129" bestFit="1" customWidth="1"/>
    <col min="13831" max="13831" width="9.85546875" style="129" customWidth="1"/>
    <col min="13832" max="13832" width="11" style="129" bestFit="1" customWidth="1"/>
    <col min="13833" max="13833" width="10.42578125" style="129" bestFit="1" customWidth="1"/>
    <col min="13834" max="13834" width="8.7109375" style="129" bestFit="1" customWidth="1"/>
    <col min="13835" max="13835" width="10" style="129" bestFit="1" customWidth="1"/>
    <col min="13836" max="13836" width="10.140625" style="129" bestFit="1" customWidth="1"/>
    <col min="13837" max="13837" width="2.42578125" style="129" customWidth="1"/>
    <col min="13838" max="13838" width="3.28515625" style="129" customWidth="1"/>
    <col min="13839" max="13839" width="13.28515625" style="129" bestFit="1" customWidth="1"/>
    <col min="13840" max="13840" width="2.42578125" style="129" customWidth="1"/>
    <col min="13841" max="13841" width="15" style="129" customWidth="1"/>
    <col min="13842" max="13842" width="2.42578125" style="129" customWidth="1"/>
    <col min="13843" max="13843" width="10.7109375" style="129" customWidth="1"/>
    <col min="13844" max="13844" width="3" style="129" customWidth="1"/>
    <col min="13845" max="13845" width="11.42578125" style="129" customWidth="1"/>
    <col min="13846" max="13846" width="3" style="129" customWidth="1"/>
    <col min="13847" max="13847" width="15" style="129" customWidth="1"/>
    <col min="13848" max="13848" width="3" style="129" customWidth="1"/>
    <col min="13849" max="14068" width="0" style="129" hidden="1" customWidth="1"/>
    <col min="14069" max="14079" width="0" style="129" hidden="1"/>
    <col min="14080" max="14080" width="4.42578125" style="129" customWidth="1"/>
    <col min="14081" max="14081" width="11" style="129" customWidth="1"/>
    <col min="14082" max="14082" width="81.42578125" style="129" customWidth="1"/>
    <col min="14083" max="14083" width="11.28515625" style="129" customWidth="1"/>
    <col min="14084" max="14084" width="15" style="129" customWidth="1"/>
    <col min="14085" max="14085" width="15.140625" style="129" customWidth="1"/>
    <col min="14086" max="14086" width="12.140625" style="129" bestFit="1" customWidth="1"/>
    <col min="14087" max="14087" width="9.85546875" style="129" customWidth="1"/>
    <col min="14088" max="14088" width="11" style="129" bestFit="1" customWidth="1"/>
    <col min="14089" max="14089" width="10.42578125" style="129" bestFit="1" customWidth="1"/>
    <col min="14090" max="14090" width="8.7109375" style="129" bestFit="1" customWidth="1"/>
    <col min="14091" max="14091" width="10" style="129" bestFit="1" customWidth="1"/>
    <col min="14092" max="14092" width="10.140625" style="129" bestFit="1" customWidth="1"/>
    <col min="14093" max="14093" width="2.42578125" style="129" customWidth="1"/>
    <col min="14094" max="14094" width="3.28515625" style="129" customWidth="1"/>
    <col min="14095" max="14095" width="13.28515625" style="129" bestFit="1" customWidth="1"/>
    <col min="14096" max="14096" width="2.42578125" style="129" customWidth="1"/>
    <col min="14097" max="14097" width="15" style="129" customWidth="1"/>
    <col min="14098" max="14098" width="2.42578125" style="129" customWidth="1"/>
    <col min="14099" max="14099" width="10.7109375" style="129" customWidth="1"/>
    <col min="14100" max="14100" width="3" style="129" customWidth="1"/>
    <col min="14101" max="14101" width="11.42578125" style="129" customWidth="1"/>
    <col min="14102" max="14102" width="3" style="129" customWidth="1"/>
    <col min="14103" max="14103" width="15" style="129" customWidth="1"/>
    <col min="14104" max="14104" width="3" style="129" customWidth="1"/>
    <col min="14105" max="14324" width="0" style="129" hidden="1" customWidth="1"/>
    <col min="14325" max="14335" width="0" style="129" hidden="1"/>
    <col min="14336" max="14336" width="4.42578125" style="129" customWidth="1"/>
    <col min="14337" max="14337" width="11" style="129" customWidth="1"/>
    <col min="14338" max="14338" width="81.42578125" style="129" customWidth="1"/>
    <col min="14339" max="14339" width="11.28515625" style="129" customWidth="1"/>
    <col min="14340" max="14340" width="15" style="129" customWidth="1"/>
    <col min="14341" max="14341" width="15.140625" style="129" customWidth="1"/>
    <col min="14342" max="14342" width="12.140625" style="129" bestFit="1" customWidth="1"/>
    <col min="14343" max="14343" width="9.85546875" style="129" customWidth="1"/>
    <col min="14344" max="14344" width="11" style="129" bestFit="1" customWidth="1"/>
    <col min="14345" max="14345" width="10.42578125" style="129" bestFit="1" customWidth="1"/>
    <col min="14346" max="14346" width="8.7109375" style="129" bestFit="1" customWidth="1"/>
    <col min="14347" max="14347" width="10" style="129" bestFit="1" customWidth="1"/>
    <col min="14348" max="14348" width="10.140625" style="129" bestFit="1" customWidth="1"/>
    <col min="14349" max="14349" width="2.42578125" style="129" customWidth="1"/>
    <col min="14350" max="14350" width="3.28515625" style="129" customWidth="1"/>
    <col min="14351" max="14351" width="13.28515625" style="129" bestFit="1" customWidth="1"/>
    <col min="14352" max="14352" width="2.42578125" style="129" customWidth="1"/>
    <col min="14353" max="14353" width="15" style="129" customWidth="1"/>
    <col min="14354" max="14354" width="2.42578125" style="129" customWidth="1"/>
    <col min="14355" max="14355" width="10.7109375" style="129" customWidth="1"/>
    <col min="14356" max="14356" width="3" style="129" customWidth="1"/>
    <col min="14357" max="14357" width="11.42578125" style="129" customWidth="1"/>
    <col min="14358" max="14358" width="3" style="129" customWidth="1"/>
    <col min="14359" max="14359" width="15" style="129" customWidth="1"/>
    <col min="14360" max="14360" width="3" style="129" customWidth="1"/>
    <col min="14361" max="14580" width="0" style="129" hidden="1" customWidth="1"/>
    <col min="14581" max="14591" width="0" style="129" hidden="1"/>
    <col min="14592" max="14592" width="4.42578125" style="129" customWidth="1"/>
    <col min="14593" max="14593" width="11" style="129" customWidth="1"/>
    <col min="14594" max="14594" width="81.42578125" style="129" customWidth="1"/>
    <col min="14595" max="14595" width="11.28515625" style="129" customWidth="1"/>
    <col min="14596" max="14596" width="15" style="129" customWidth="1"/>
    <col min="14597" max="14597" width="15.140625" style="129" customWidth="1"/>
    <col min="14598" max="14598" width="12.140625" style="129" bestFit="1" customWidth="1"/>
    <col min="14599" max="14599" width="9.85546875" style="129" customWidth="1"/>
    <col min="14600" max="14600" width="11" style="129" bestFit="1" customWidth="1"/>
    <col min="14601" max="14601" width="10.42578125" style="129" bestFit="1" customWidth="1"/>
    <col min="14602" max="14602" width="8.7109375" style="129" bestFit="1" customWidth="1"/>
    <col min="14603" max="14603" width="10" style="129" bestFit="1" customWidth="1"/>
    <col min="14604" max="14604" width="10.140625" style="129" bestFit="1" customWidth="1"/>
    <col min="14605" max="14605" width="2.42578125" style="129" customWidth="1"/>
    <col min="14606" max="14606" width="3.28515625" style="129" customWidth="1"/>
    <col min="14607" max="14607" width="13.28515625" style="129" bestFit="1" customWidth="1"/>
    <col min="14608" max="14608" width="2.42578125" style="129" customWidth="1"/>
    <col min="14609" max="14609" width="15" style="129" customWidth="1"/>
    <col min="14610" max="14610" width="2.42578125" style="129" customWidth="1"/>
    <col min="14611" max="14611" width="10.7109375" style="129" customWidth="1"/>
    <col min="14612" max="14612" width="3" style="129" customWidth="1"/>
    <col min="14613" max="14613" width="11.42578125" style="129" customWidth="1"/>
    <col min="14614" max="14614" width="3" style="129" customWidth="1"/>
    <col min="14615" max="14615" width="15" style="129" customWidth="1"/>
    <col min="14616" max="14616" width="3" style="129" customWidth="1"/>
    <col min="14617" max="14836" width="0" style="129" hidden="1" customWidth="1"/>
    <col min="14837" max="14847" width="0" style="129" hidden="1"/>
    <col min="14848" max="14848" width="4.42578125" style="129" customWidth="1"/>
    <col min="14849" max="14849" width="11" style="129" customWidth="1"/>
    <col min="14850" max="14850" width="81.42578125" style="129" customWidth="1"/>
    <col min="14851" max="14851" width="11.28515625" style="129" customWidth="1"/>
    <col min="14852" max="14852" width="15" style="129" customWidth="1"/>
    <col min="14853" max="14853" width="15.140625" style="129" customWidth="1"/>
    <col min="14854" max="14854" width="12.140625" style="129" bestFit="1" customWidth="1"/>
    <col min="14855" max="14855" width="9.85546875" style="129" customWidth="1"/>
    <col min="14856" max="14856" width="11" style="129" bestFit="1" customWidth="1"/>
    <col min="14857" max="14857" width="10.42578125" style="129" bestFit="1" customWidth="1"/>
    <col min="14858" max="14858" width="8.7109375" style="129" bestFit="1" customWidth="1"/>
    <col min="14859" max="14859" width="10" style="129" bestFit="1" customWidth="1"/>
    <col min="14860" max="14860" width="10.140625" style="129" bestFit="1" customWidth="1"/>
    <col min="14861" max="14861" width="2.42578125" style="129" customWidth="1"/>
    <col min="14862" max="14862" width="3.28515625" style="129" customWidth="1"/>
    <col min="14863" max="14863" width="13.28515625" style="129" bestFit="1" customWidth="1"/>
    <col min="14864" max="14864" width="2.42578125" style="129" customWidth="1"/>
    <col min="14865" max="14865" width="15" style="129" customWidth="1"/>
    <col min="14866" max="14866" width="2.42578125" style="129" customWidth="1"/>
    <col min="14867" max="14867" width="10.7109375" style="129" customWidth="1"/>
    <col min="14868" max="14868" width="3" style="129" customWidth="1"/>
    <col min="14869" max="14869" width="11.42578125" style="129" customWidth="1"/>
    <col min="14870" max="14870" width="3" style="129" customWidth="1"/>
    <col min="14871" max="14871" width="15" style="129" customWidth="1"/>
    <col min="14872" max="14872" width="3" style="129" customWidth="1"/>
    <col min="14873" max="15092" width="0" style="129" hidden="1" customWidth="1"/>
    <col min="15093" max="15103" width="0" style="129" hidden="1"/>
    <col min="15104" max="15104" width="4.42578125" style="129" customWidth="1"/>
    <col min="15105" max="15105" width="11" style="129" customWidth="1"/>
    <col min="15106" max="15106" width="81.42578125" style="129" customWidth="1"/>
    <col min="15107" max="15107" width="11.28515625" style="129" customWidth="1"/>
    <col min="15108" max="15108" width="15" style="129" customWidth="1"/>
    <col min="15109" max="15109" width="15.140625" style="129" customWidth="1"/>
    <col min="15110" max="15110" width="12.140625" style="129" bestFit="1" customWidth="1"/>
    <col min="15111" max="15111" width="9.85546875" style="129" customWidth="1"/>
    <col min="15112" max="15112" width="11" style="129" bestFit="1" customWidth="1"/>
    <col min="15113" max="15113" width="10.42578125" style="129" bestFit="1" customWidth="1"/>
    <col min="15114" max="15114" width="8.7109375" style="129" bestFit="1" customWidth="1"/>
    <col min="15115" max="15115" width="10" style="129" bestFit="1" customWidth="1"/>
    <col min="15116" max="15116" width="10.140625" style="129" bestFit="1" customWidth="1"/>
    <col min="15117" max="15117" width="2.42578125" style="129" customWidth="1"/>
    <col min="15118" max="15118" width="3.28515625" style="129" customWidth="1"/>
    <col min="15119" max="15119" width="13.28515625" style="129" bestFit="1" customWidth="1"/>
    <col min="15120" max="15120" width="2.42578125" style="129" customWidth="1"/>
    <col min="15121" max="15121" width="15" style="129" customWidth="1"/>
    <col min="15122" max="15122" width="2.42578125" style="129" customWidth="1"/>
    <col min="15123" max="15123" width="10.7109375" style="129" customWidth="1"/>
    <col min="15124" max="15124" width="3" style="129" customWidth="1"/>
    <col min="15125" max="15125" width="11.42578125" style="129" customWidth="1"/>
    <col min="15126" max="15126" width="3" style="129" customWidth="1"/>
    <col min="15127" max="15127" width="15" style="129" customWidth="1"/>
    <col min="15128" max="15128" width="3" style="129" customWidth="1"/>
    <col min="15129" max="15348" width="0" style="129" hidden="1" customWidth="1"/>
    <col min="15349" max="15359" width="0" style="129" hidden="1"/>
    <col min="15360" max="15360" width="4.42578125" style="129" customWidth="1"/>
    <col min="15361" max="15361" width="11" style="129" customWidth="1"/>
    <col min="15362" max="15362" width="81.42578125" style="129" customWidth="1"/>
    <col min="15363" max="15363" width="11.28515625" style="129" customWidth="1"/>
    <col min="15364" max="15364" width="15" style="129" customWidth="1"/>
    <col min="15365" max="15365" width="15.140625" style="129" customWidth="1"/>
    <col min="15366" max="15366" width="12.140625" style="129" bestFit="1" customWidth="1"/>
    <col min="15367" max="15367" width="9.85546875" style="129" customWidth="1"/>
    <col min="15368" max="15368" width="11" style="129" bestFit="1" customWidth="1"/>
    <col min="15369" max="15369" width="10.42578125" style="129" bestFit="1" customWidth="1"/>
    <col min="15370" max="15370" width="8.7109375" style="129" bestFit="1" customWidth="1"/>
    <col min="15371" max="15371" width="10" style="129" bestFit="1" customWidth="1"/>
    <col min="15372" max="15372" width="10.140625" style="129" bestFit="1" customWidth="1"/>
    <col min="15373" max="15373" width="2.42578125" style="129" customWidth="1"/>
    <col min="15374" max="15374" width="3.28515625" style="129" customWidth="1"/>
    <col min="15375" max="15375" width="13.28515625" style="129" bestFit="1" customWidth="1"/>
    <col min="15376" max="15376" width="2.42578125" style="129" customWidth="1"/>
    <col min="15377" max="15377" width="15" style="129" customWidth="1"/>
    <col min="15378" max="15378" width="2.42578125" style="129" customWidth="1"/>
    <col min="15379" max="15379" width="10.7109375" style="129" customWidth="1"/>
    <col min="15380" max="15380" width="3" style="129" customWidth="1"/>
    <col min="15381" max="15381" width="11.42578125" style="129" customWidth="1"/>
    <col min="15382" max="15382" width="3" style="129" customWidth="1"/>
    <col min="15383" max="15383" width="15" style="129" customWidth="1"/>
    <col min="15384" max="15384" width="3" style="129" customWidth="1"/>
    <col min="15385" max="15604" width="0" style="129" hidden="1" customWidth="1"/>
    <col min="15605" max="15615" width="0" style="129" hidden="1"/>
    <col min="15616" max="15616" width="4.42578125" style="129" customWidth="1"/>
    <col min="15617" max="15617" width="11" style="129" customWidth="1"/>
    <col min="15618" max="15618" width="81.42578125" style="129" customWidth="1"/>
    <col min="15619" max="15619" width="11.28515625" style="129" customWidth="1"/>
    <col min="15620" max="15620" width="15" style="129" customWidth="1"/>
    <col min="15621" max="15621" width="15.140625" style="129" customWidth="1"/>
    <col min="15622" max="15622" width="12.140625" style="129" bestFit="1" customWidth="1"/>
    <col min="15623" max="15623" width="9.85546875" style="129" customWidth="1"/>
    <col min="15624" max="15624" width="11" style="129" bestFit="1" customWidth="1"/>
    <col min="15625" max="15625" width="10.42578125" style="129" bestFit="1" customWidth="1"/>
    <col min="15626" max="15626" width="8.7109375" style="129" bestFit="1" customWidth="1"/>
    <col min="15627" max="15627" width="10" style="129" bestFit="1" customWidth="1"/>
    <col min="15628" max="15628" width="10.140625" style="129" bestFit="1" customWidth="1"/>
    <col min="15629" max="15629" width="2.42578125" style="129" customWidth="1"/>
    <col min="15630" max="15630" width="3.28515625" style="129" customWidth="1"/>
    <col min="15631" max="15631" width="13.28515625" style="129" bestFit="1" customWidth="1"/>
    <col min="15632" max="15632" width="2.42578125" style="129" customWidth="1"/>
    <col min="15633" max="15633" width="15" style="129" customWidth="1"/>
    <col min="15634" max="15634" width="2.42578125" style="129" customWidth="1"/>
    <col min="15635" max="15635" width="10.7109375" style="129" customWidth="1"/>
    <col min="15636" max="15636" width="3" style="129" customWidth="1"/>
    <col min="15637" max="15637" width="11.42578125" style="129" customWidth="1"/>
    <col min="15638" max="15638" width="3" style="129" customWidth="1"/>
    <col min="15639" max="15639" width="15" style="129" customWidth="1"/>
    <col min="15640" max="15640" width="3" style="129" customWidth="1"/>
    <col min="15641" max="15860" width="0" style="129" hidden="1" customWidth="1"/>
    <col min="15861" max="15871" width="0" style="129" hidden="1"/>
    <col min="15872" max="15872" width="4.42578125" style="129" customWidth="1"/>
    <col min="15873" max="15873" width="11" style="129" customWidth="1"/>
    <col min="15874" max="15874" width="81.42578125" style="129" customWidth="1"/>
    <col min="15875" max="15875" width="11.28515625" style="129" customWidth="1"/>
    <col min="15876" max="15876" width="15" style="129" customWidth="1"/>
    <col min="15877" max="15877" width="15.140625" style="129" customWidth="1"/>
    <col min="15878" max="15878" width="12.140625" style="129" bestFit="1" customWidth="1"/>
    <col min="15879" max="15879" width="9.85546875" style="129" customWidth="1"/>
    <col min="15880" max="15880" width="11" style="129" bestFit="1" customWidth="1"/>
    <col min="15881" max="15881" width="10.42578125" style="129" bestFit="1" customWidth="1"/>
    <col min="15882" max="15882" width="8.7109375" style="129" bestFit="1" customWidth="1"/>
    <col min="15883" max="15883" width="10" style="129" bestFit="1" customWidth="1"/>
    <col min="15884" max="15884" width="10.140625" style="129" bestFit="1" customWidth="1"/>
    <col min="15885" max="15885" width="2.42578125" style="129" customWidth="1"/>
    <col min="15886" max="15886" width="3.28515625" style="129" customWidth="1"/>
    <col min="15887" max="15887" width="13.28515625" style="129" bestFit="1" customWidth="1"/>
    <col min="15888" max="15888" width="2.42578125" style="129" customWidth="1"/>
    <col min="15889" max="15889" width="15" style="129" customWidth="1"/>
    <col min="15890" max="15890" width="2.42578125" style="129" customWidth="1"/>
    <col min="15891" max="15891" width="10.7109375" style="129" customWidth="1"/>
    <col min="15892" max="15892" width="3" style="129" customWidth="1"/>
    <col min="15893" max="15893" width="11.42578125" style="129" customWidth="1"/>
    <col min="15894" max="15894" width="3" style="129" customWidth="1"/>
    <col min="15895" max="15895" width="15" style="129" customWidth="1"/>
    <col min="15896" max="15896" width="3" style="129" customWidth="1"/>
    <col min="15897" max="16116" width="0" style="129" hidden="1" customWidth="1"/>
    <col min="16117" max="16127" width="0" style="129" hidden="1"/>
    <col min="16128" max="16128" width="4.42578125" style="129" customWidth="1"/>
    <col min="16129" max="16129" width="11" style="129" customWidth="1"/>
    <col min="16130" max="16130" width="81.42578125" style="129" customWidth="1"/>
    <col min="16131" max="16131" width="11.28515625" style="129" customWidth="1"/>
    <col min="16132" max="16132" width="15" style="129" customWidth="1"/>
    <col min="16133" max="16133" width="15.140625" style="129" customWidth="1"/>
    <col min="16134" max="16134" width="12.140625" style="129" bestFit="1" customWidth="1"/>
    <col min="16135" max="16135" width="9.85546875" style="129" customWidth="1"/>
    <col min="16136" max="16136" width="11" style="129" bestFit="1" customWidth="1"/>
    <col min="16137" max="16137" width="10.42578125" style="129" bestFit="1" customWidth="1"/>
    <col min="16138" max="16138" width="8.7109375" style="129" bestFit="1" customWidth="1"/>
    <col min="16139" max="16139" width="10" style="129" bestFit="1" customWidth="1"/>
    <col min="16140" max="16140" width="10.140625" style="129" bestFit="1" customWidth="1"/>
    <col min="16141" max="16141" width="2.42578125" style="129" customWidth="1"/>
    <col min="16142" max="16142" width="3.28515625" style="129" customWidth="1"/>
    <col min="16143" max="16143" width="13.28515625" style="129" bestFit="1" customWidth="1"/>
    <col min="16144" max="16144" width="2.42578125" style="129" customWidth="1"/>
    <col min="16145" max="16145" width="15" style="129" customWidth="1"/>
    <col min="16146" max="16146" width="2.42578125" style="129" customWidth="1"/>
    <col min="16147" max="16147" width="10.7109375" style="129" customWidth="1"/>
    <col min="16148" max="16148" width="3" style="129" customWidth="1"/>
    <col min="16149" max="16149" width="11.42578125" style="129" customWidth="1"/>
    <col min="16150" max="16150" width="3" style="129" customWidth="1"/>
    <col min="16151" max="16151" width="15" style="129" customWidth="1"/>
    <col min="16152" max="16152" width="3" style="129" customWidth="1"/>
    <col min="16153" max="16372" width="0" style="129" hidden="1" customWidth="1"/>
    <col min="16373" max="16384" width="0" style="129" hidden="1"/>
  </cols>
  <sheetData>
    <row r="1" spans="1:15" x14ac:dyDescent="0.2">
      <c r="B1" s="130"/>
      <c r="C1" s="129"/>
      <c r="D1" s="129"/>
      <c r="E1" s="129"/>
      <c r="I1" s="129"/>
      <c r="J1" s="129"/>
      <c r="K1" s="129"/>
      <c r="L1" s="129"/>
      <c r="O1" s="129"/>
    </row>
    <row r="2" spans="1:15" x14ac:dyDescent="0.2">
      <c r="B2" s="130"/>
      <c r="C2" s="129"/>
      <c r="D2" s="129"/>
      <c r="E2" s="129"/>
      <c r="I2" s="129"/>
      <c r="J2" s="129"/>
      <c r="K2" s="129"/>
      <c r="L2" s="129"/>
      <c r="O2" s="129"/>
    </row>
    <row r="3" spans="1:15" x14ac:dyDescent="0.2">
      <c r="B3" s="130"/>
      <c r="C3" s="129"/>
      <c r="D3" s="129"/>
      <c r="E3" s="129"/>
      <c r="I3" s="129"/>
      <c r="J3" s="129"/>
      <c r="K3" s="129"/>
      <c r="L3" s="129"/>
      <c r="O3" s="129"/>
    </row>
    <row r="4" spans="1:15" x14ac:dyDescent="0.2">
      <c r="B4" s="130"/>
      <c r="C4" s="129"/>
      <c r="D4" s="129"/>
      <c r="E4" s="129"/>
      <c r="I4" s="129"/>
      <c r="J4" s="129"/>
      <c r="K4" s="129"/>
      <c r="L4" s="129"/>
      <c r="O4" s="129"/>
    </row>
    <row r="5" spans="1:15" x14ac:dyDescent="0.2">
      <c r="B5" s="130"/>
      <c r="C5" s="129"/>
      <c r="D5" s="129"/>
      <c r="E5" s="129"/>
      <c r="I5" s="129"/>
      <c r="J5" s="129"/>
      <c r="K5" s="129"/>
      <c r="L5" s="129"/>
      <c r="O5" s="129"/>
    </row>
    <row r="6" spans="1:15" x14ac:dyDescent="0.2">
      <c r="B6" s="130"/>
      <c r="C6" s="129"/>
      <c r="D6" s="129"/>
      <c r="E6" s="129"/>
      <c r="I6" s="129"/>
      <c r="J6" s="129"/>
      <c r="K6" s="129"/>
      <c r="L6" s="129"/>
      <c r="O6" s="129"/>
    </row>
    <row r="7" spans="1:15" x14ac:dyDescent="0.2">
      <c r="B7" s="130"/>
      <c r="C7" s="129"/>
      <c r="D7" s="129"/>
      <c r="E7" s="129"/>
      <c r="I7" s="129"/>
      <c r="J7" s="129"/>
      <c r="K7" s="129"/>
      <c r="L7" s="129"/>
      <c r="O7" s="129"/>
    </row>
    <row r="8" spans="1:15" x14ac:dyDescent="0.2">
      <c r="B8" s="130"/>
      <c r="C8" s="129"/>
      <c r="D8" s="129"/>
      <c r="E8" s="129"/>
      <c r="I8" s="129"/>
      <c r="J8" s="129"/>
      <c r="K8" s="129"/>
      <c r="L8" s="129"/>
      <c r="O8" s="129"/>
    </row>
    <row r="9" spans="1:15" x14ac:dyDescent="0.2">
      <c r="B9" s="130"/>
      <c r="C9" s="129"/>
      <c r="D9" s="129"/>
      <c r="E9" s="129"/>
      <c r="I9" s="129"/>
      <c r="J9" s="129"/>
      <c r="K9" s="129"/>
      <c r="L9" s="129"/>
      <c r="O9" s="129"/>
    </row>
    <row r="10" spans="1:15" x14ac:dyDescent="0.2">
      <c r="B10" s="130"/>
      <c r="C10" s="129"/>
      <c r="D10" s="129"/>
      <c r="E10" s="129"/>
      <c r="I10" s="129"/>
      <c r="J10" s="129"/>
      <c r="K10" s="129"/>
      <c r="L10" s="129"/>
      <c r="O10" s="129"/>
    </row>
    <row r="11" spans="1:15" x14ac:dyDescent="0.2">
      <c r="B11" s="130"/>
      <c r="C11" s="129"/>
      <c r="D11" s="129"/>
      <c r="E11" s="129"/>
      <c r="I11" s="129"/>
      <c r="J11" s="129"/>
      <c r="K11" s="129"/>
      <c r="L11" s="129"/>
      <c r="O11" s="129"/>
    </row>
    <row r="12" spans="1:15" ht="24" x14ac:dyDescent="0.2">
      <c r="A12" s="129" t="s">
        <v>129</v>
      </c>
      <c r="B12" s="634" t="s">
        <v>130</v>
      </c>
      <c r="C12" s="131" t="s">
        <v>131</v>
      </c>
      <c r="D12" s="131" t="s">
        <v>148</v>
      </c>
      <c r="E12" s="131" t="s">
        <v>149</v>
      </c>
      <c r="I12" s="129"/>
      <c r="J12" s="129"/>
      <c r="K12" s="129"/>
      <c r="L12" s="129"/>
      <c r="O12" s="129"/>
    </row>
    <row r="13" spans="1:15" x14ac:dyDescent="0.2">
      <c r="B13" s="132" t="s">
        <v>132</v>
      </c>
      <c r="C13" s="133"/>
      <c r="D13" s="134"/>
      <c r="E13" s="134"/>
      <c r="I13" s="129"/>
      <c r="J13" s="129"/>
      <c r="K13" s="129"/>
      <c r="L13" s="129"/>
      <c r="O13" s="129"/>
    </row>
    <row r="14" spans="1:15" x14ac:dyDescent="0.2">
      <c r="B14" s="135" t="s">
        <v>724</v>
      </c>
      <c r="C14" s="136"/>
      <c r="D14" s="134"/>
      <c r="E14" s="134"/>
      <c r="I14" s="129"/>
      <c r="J14" s="129"/>
      <c r="K14" s="129"/>
      <c r="L14" s="129"/>
      <c r="O14" s="129"/>
    </row>
    <row r="15" spans="1:15" x14ac:dyDescent="0.2">
      <c r="B15" s="137" t="s">
        <v>725</v>
      </c>
      <c r="C15" s="133">
        <f>ROUND(2*216*1.05,0)</f>
        <v>454</v>
      </c>
      <c r="D15" s="145">
        <v>3000</v>
      </c>
      <c r="E15" s="145">
        <f t="shared" ref="E15:E23" si="0">+C15*D15</f>
        <v>1362000</v>
      </c>
      <c r="I15" s="129"/>
      <c r="J15" s="129"/>
      <c r="K15" s="129"/>
      <c r="L15" s="129"/>
      <c r="O15" s="129"/>
    </row>
    <row r="16" spans="1:15" x14ac:dyDescent="0.2">
      <c r="B16" s="137" t="s">
        <v>726</v>
      </c>
      <c r="C16" s="133">
        <f>ROUND(168*1.05,0)</f>
        <v>176</v>
      </c>
      <c r="D16" s="145">
        <v>3500</v>
      </c>
      <c r="E16" s="145">
        <f t="shared" si="0"/>
        <v>616000</v>
      </c>
      <c r="I16" s="129"/>
      <c r="J16" s="129"/>
      <c r="K16" s="129"/>
      <c r="L16" s="129"/>
      <c r="O16" s="129"/>
    </row>
    <row r="17" spans="2:15" x14ac:dyDescent="0.2">
      <c r="B17" s="137" t="s">
        <v>727</v>
      </c>
      <c r="C17" s="133">
        <v>12</v>
      </c>
      <c r="D17" s="145">
        <v>25000</v>
      </c>
      <c r="E17" s="145">
        <f t="shared" si="0"/>
        <v>300000</v>
      </c>
      <c r="I17" s="129"/>
      <c r="J17" s="129"/>
      <c r="K17" s="129"/>
      <c r="L17" s="129"/>
      <c r="O17" s="129"/>
    </row>
    <row r="18" spans="2:15" x14ac:dyDescent="0.2">
      <c r="B18" s="137" t="s">
        <v>728</v>
      </c>
      <c r="C18" s="133">
        <v>3</v>
      </c>
      <c r="D18" s="145">
        <v>15000</v>
      </c>
      <c r="E18" s="145">
        <f t="shared" si="0"/>
        <v>45000</v>
      </c>
      <c r="I18" s="129"/>
      <c r="J18" s="129"/>
      <c r="K18" s="129"/>
      <c r="L18" s="129"/>
      <c r="O18" s="129"/>
    </row>
    <row r="19" spans="2:15" x14ac:dyDescent="0.2">
      <c r="B19" s="137" t="s">
        <v>729</v>
      </c>
      <c r="C19" s="133">
        <v>1</v>
      </c>
      <c r="D19" s="145">
        <v>100000</v>
      </c>
      <c r="E19" s="145">
        <f t="shared" si="0"/>
        <v>100000</v>
      </c>
      <c r="I19" s="129"/>
      <c r="J19" s="129"/>
      <c r="K19" s="129"/>
      <c r="L19" s="129"/>
      <c r="O19" s="129"/>
    </row>
    <row r="20" spans="2:15" x14ac:dyDescent="0.2">
      <c r="B20" s="137" t="s">
        <v>150</v>
      </c>
      <c r="C20" s="133">
        <f>3*2</f>
        <v>6</v>
      </c>
      <c r="D20" s="145">
        <v>10000</v>
      </c>
      <c r="E20" s="145">
        <f t="shared" si="0"/>
        <v>60000</v>
      </c>
      <c r="I20" s="129"/>
      <c r="J20" s="129"/>
      <c r="K20" s="129"/>
      <c r="L20" s="129"/>
      <c r="O20" s="129"/>
    </row>
    <row r="21" spans="2:15" x14ac:dyDescent="0.2">
      <c r="B21" s="137" t="s">
        <v>133</v>
      </c>
      <c r="C21" s="133">
        <v>6</v>
      </c>
      <c r="D21" s="145">
        <v>5000</v>
      </c>
      <c r="E21" s="145">
        <f t="shared" si="0"/>
        <v>30000</v>
      </c>
      <c r="I21" s="129"/>
      <c r="J21" s="129"/>
      <c r="K21" s="129"/>
      <c r="L21" s="129"/>
      <c r="O21" s="129"/>
    </row>
    <row r="22" spans="2:15" x14ac:dyDescent="0.2">
      <c r="B22" s="137" t="s">
        <v>730</v>
      </c>
      <c r="C22" s="133">
        <v>2</v>
      </c>
      <c r="D22" s="145">
        <v>300000</v>
      </c>
      <c r="E22" s="145">
        <f t="shared" si="0"/>
        <v>600000</v>
      </c>
      <c r="I22" s="129"/>
      <c r="J22" s="129"/>
      <c r="K22" s="129"/>
      <c r="L22" s="129"/>
      <c r="O22" s="129"/>
    </row>
    <row r="23" spans="2:15" x14ac:dyDescent="0.2">
      <c r="B23" s="137" t="s">
        <v>731</v>
      </c>
      <c r="C23" s="133">
        <v>2</v>
      </c>
      <c r="D23" s="145">
        <v>250000</v>
      </c>
      <c r="E23" s="145">
        <f t="shared" si="0"/>
        <v>500000</v>
      </c>
      <c r="I23" s="129"/>
      <c r="J23" s="129"/>
      <c r="K23" s="129"/>
      <c r="L23" s="129"/>
      <c r="O23" s="129"/>
    </row>
    <row r="24" spans="2:15" x14ac:dyDescent="0.2">
      <c r="B24" s="135" t="s">
        <v>134</v>
      </c>
      <c r="C24" s="136"/>
      <c r="D24" s="145"/>
      <c r="E24" s="145">
        <f t="shared" ref="E24:E51" si="1">+C24*D24</f>
        <v>0</v>
      </c>
      <c r="I24" s="129"/>
      <c r="J24" s="129"/>
      <c r="K24" s="129"/>
      <c r="L24" s="129"/>
      <c r="O24" s="129"/>
    </row>
    <row r="25" spans="2:15" x14ac:dyDescent="0.2">
      <c r="B25" s="137" t="s">
        <v>158</v>
      </c>
      <c r="C25" s="133">
        <v>1</v>
      </c>
      <c r="D25" s="145">
        <v>10000</v>
      </c>
      <c r="E25" s="145">
        <f t="shared" si="1"/>
        <v>10000</v>
      </c>
      <c r="I25" s="129"/>
      <c r="J25" s="129"/>
      <c r="K25" s="129"/>
      <c r="L25" s="129"/>
      <c r="O25" s="129"/>
    </row>
    <row r="26" spans="2:15" x14ac:dyDescent="0.2">
      <c r="B26" s="137" t="s">
        <v>135</v>
      </c>
      <c r="C26" s="133">
        <v>1</v>
      </c>
      <c r="D26" s="145">
        <v>12000</v>
      </c>
      <c r="E26" s="145">
        <f t="shared" si="1"/>
        <v>12000</v>
      </c>
      <c r="I26" s="129"/>
      <c r="J26" s="129"/>
      <c r="K26" s="129"/>
      <c r="L26" s="129"/>
      <c r="O26" s="129"/>
    </row>
    <row r="27" spans="2:15" x14ac:dyDescent="0.2">
      <c r="B27" s="137" t="s">
        <v>136</v>
      </c>
      <c r="C27" s="133">
        <v>1</v>
      </c>
      <c r="D27" s="145">
        <v>10000</v>
      </c>
      <c r="E27" s="145">
        <f t="shared" si="1"/>
        <v>10000</v>
      </c>
      <c r="I27" s="129"/>
      <c r="J27" s="129"/>
      <c r="K27" s="129"/>
      <c r="L27" s="129"/>
      <c r="O27" s="129"/>
    </row>
    <row r="28" spans="2:15" x14ac:dyDescent="0.2">
      <c r="B28" s="137" t="s">
        <v>137</v>
      </c>
      <c r="C28" s="133">
        <v>1</v>
      </c>
      <c r="D28" s="145">
        <v>15000</v>
      </c>
      <c r="E28" s="145">
        <f t="shared" si="1"/>
        <v>15000</v>
      </c>
      <c r="I28" s="129"/>
      <c r="J28" s="129"/>
      <c r="K28" s="129"/>
      <c r="L28" s="129"/>
      <c r="O28" s="129"/>
    </row>
    <row r="29" spans="2:15" x14ac:dyDescent="0.2">
      <c r="B29" s="137" t="s">
        <v>53</v>
      </c>
      <c r="C29" s="133">
        <v>1</v>
      </c>
      <c r="D29" s="145">
        <v>10000</v>
      </c>
      <c r="E29" s="145">
        <f t="shared" si="1"/>
        <v>10000</v>
      </c>
      <c r="I29" s="129"/>
      <c r="J29" s="129"/>
      <c r="K29" s="129"/>
      <c r="L29" s="129"/>
      <c r="O29" s="129"/>
    </row>
    <row r="30" spans="2:15" x14ac:dyDescent="0.2">
      <c r="B30" s="137" t="s">
        <v>138</v>
      </c>
      <c r="C30" s="133">
        <v>1</v>
      </c>
      <c r="D30" s="145">
        <v>4000</v>
      </c>
      <c r="E30" s="145">
        <f t="shared" si="1"/>
        <v>4000</v>
      </c>
      <c r="I30" s="129"/>
      <c r="J30" s="129"/>
      <c r="K30" s="129"/>
      <c r="L30" s="129"/>
      <c r="O30" s="129"/>
    </row>
    <row r="31" spans="2:15" x14ac:dyDescent="0.2">
      <c r="B31" s="135" t="s">
        <v>139</v>
      </c>
      <c r="C31" s="136"/>
      <c r="D31" s="145"/>
      <c r="E31" s="145">
        <f t="shared" si="1"/>
        <v>0</v>
      </c>
      <c r="I31" s="129"/>
      <c r="J31" s="129"/>
      <c r="K31" s="129"/>
      <c r="L31" s="129"/>
      <c r="O31" s="129"/>
    </row>
    <row r="32" spans="2:15" x14ac:dyDescent="0.2">
      <c r="B32" s="137" t="s">
        <v>140</v>
      </c>
      <c r="C32" s="133">
        <v>4</v>
      </c>
      <c r="D32" s="145">
        <v>200000</v>
      </c>
      <c r="E32" s="145">
        <f t="shared" si="1"/>
        <v>800000</v>
      </c>
      <c r="I32" s="129"/>
      <c r="J32" s="129"/>
      <c r="K32" s="129"/>
      <c r="L32" s="129"/>
      <c r="O32" s="129"/>
    </row>
    <row r="33" spans="2:15" ht="26.25" customHeight="1" x14ac:dyDescent="0.2">
      <c r="B33" s="137" t="s">
        <v>732</v>
      </c>
      <c r="C33" s="133">
        <v>1</v>
      </c>
      <c r="D33" s="145">
        <v>100000</v>
      </c>
      <c r="E33" s="145">
        <f t="shared" si="1"/>
        <v>100000</v>
      </c>
      <c r="I33" s="129"/>
      <c r="J33" s="129"/>
      <c r="K33" s="129"/>
      <c r="L33" s="129"/>
      <c r="O33" s="129"/>
    </row>
    <row r="34" spans="2:15" x14ac:dyDescent="0.2">
      <c r="B34" s="137" t="s">
        <v>141</v>
      </c>
      <c r="C34" s="133">
        <v>2</v>
      </c>
      <c r="D34" s="145">
        <v>25000</v>
      </c>
      <c r="E34" s="145">
        <f t="shared" si="1"/>
        <v>50000</v>
      </c>
      <c r="I34" s="129"/>
      <c r="J34" s="129"/>
      <c r="K34" s="129"/>
      <c r="L34" s="129"/>
      <c r="O34" s="129"/>
    </row>
    <row r="35" spans="2:15" x14ac:dyDescent="0.2">
      <c r="B35" s="137" t="s">
        <v>733</v>
      </c>
      <c r="C35" s="133">
        <v>2</v>
      </c>
      <c r="D35" s="145">
        <v>40000</v>
      </c>
      <c r="E35" s="145">
        <f t="shared" si="1"/>
        <v>80000</v>
      </c>
      <c r="I35" s="129"/>
      <c r="J35" s="129"/>
      <c r="K35" s="129"/>
      <c r="L35" s="129"/>
      <c r="O35" s="129"/>
    </row>
    <row r="36" spans="2:15" x14ac:dyDescent="0.2">
      <c r="B36" s="137" t="s">
        <v>142</v>
      </c>
      <c r="C36" s="133">
        <v>2</v>
      </c>
      <c r="D36" s="145">
        <v>20000</v>
      </c>
      <c r="E36" s="145">
        <f t="shared" si="1"/>
        <v>40000</v>
      </c>
      <c r="I36" s="129"/>
      <c r="J36" s="129"/>
      <c r="K36" s="129"/>
      <c r="L36" s="129"/>
      <c r="O36" s="129"/>
    </row>
    <row r="37" spans="2:15" x14ac:dyDescent="0.2">
      <c r="B37" s="137" t="s">
        <v>143</v>
      </c>
      <c r="C37" s="133">
        <v>2</v>
      </c>
      <c r="D37" s="145">
        <v>20000</v>
      </c>
      <c r="E37" s="145">
        <f t="shared" si="1"/>
        <v>40000</v>
      </c>
      <c r="I37" s="129"/>
      <c r="J37" s="129"/>
      <c r="K37" s="129"/>
      <c r="L37" s="129"/>
      <c r="O37" s="129"/>
    </row>
    <row r="38" spans="2:15" x14ac:dyDescent="0.2">
      <c r="B38" s="137" t="s">
        <v>151</v>
      </c>
      <c r="C38" s="133">
        <v>1</v>
      </c>
      <c r="D38" s="145">
        <v>10000</v>
      </c>
      <c r="E38" s="145">
        <f t="shared" si="1"/>
        <v>10000</v>
      </c>
      <c r="I38" s="129"/>
      <c r="J38" s="129"/>
      <c r="K38" s="129"/>
      <c r="L38" s="129"/>
      <c r="O38" s="129"/>
    </row>
    <row r="39" spans="2:15" x14ac:dyDescent="0.2">
      <c r="B39" s="137" t="s">
        <v>152</v>
      </c>
      <c r="C39" s="133">
        <v>1</v>
      </c>
      <c r="D39" s="145">
        <v>50000</v>
      </c>
      <c r="E39" s="145">
        <f t="shared" si="1"/>
        <v>50000</v>
      </c>
      <c r="I39" s="129"/>
      <c r="J39" s="129"/>
      <c r="K39" s="129"/>
      <c r="L39" s="129"/>
      <c r="O39" s="129"/>
    </row>
    <row r="40" spans="2:15" x14ac:dyDescent="0.2">
      <c r="B40" s="137" t="s">
        <v>734</v>
      </c>
      <c r="C40" s="133">
        <v>1</v>
      </c>
      <c r="D40" s="145">
        <v>100000</v>
      </c>
      <c r="E40" s="145">
        <f t="shared" si="1"/>
        <v>100000</v>
      </c>
      <c r="I40" s="129"/>
      <c r="J40" s="129"/>
      <c r="K40" s="129"/>
      <c r="L40" s="129"/>
      <c r="O40" s="129"/>
    </row>
    <row r="41" spans="2:15" x14ac:dyDescent="0.2">
      <c r="B41" s="137" t="s">
        <v>735</v>
      </c>
      <c r="C41" s="133">
        <v>2</v>
      </c>
      <c r="D41" s="145">
        <v>300000</v>
      </c>
      <c r="E41" s="145">
        <f t="shared" si="1"/>
        <v>600000</v>
      </c>
      <c r="I41" s="129"/>
      <c r="J41" s="129"/>
      <c r="K41" s="129"/>
      <c r="L41" s="129"/>
      <c r="O41" s="129"/>
    </row>
    <row r="42" spans="2:15" x14ac:dyDescent="0.2">
      <c r="B42" s="137" t="s">
        <v>153</v>
      </c>
      <c r="C42" s="133">
        <v>2</v>
      </c>
      <c r="D42" s="145">
        <v>250000</v>
      </c>
      <c r="E42" s="145">
        <f t="shared" si="1"/>
        <v>500000</v>
      </c>
      <c r="I42" s="129"/>
      <c r="J42" s="129"/>
      <c r="K42" s="129"/>
      <c r="L42" s="129"/>
      <c r="O42" s="129"/>
    </row>
    <row r="43" spans="2:15" x14ac:dyDescent="0.2">
      <c r="B43" s="135" t="s">
        <v>144</v>
      </c>
      <c r="C43" s="136"/>
      <c r="D43" s="145"/>
      <c r="E43" s="145">
        <f t="shared" si="1"/>
        <v>0</v>
      </c>
      <c r="I43" s="129"/>
      <c r="J43" s="129"/>
      <c r="K43" s="129"/>
      <c r="L43" s="129"/>
      <c r="O43" s="129"/>
    </row>
    <row r="44" spans="2:15" x14ac:dyDescent="0.2">
      <c r="B44" s="137" t="s">
        <v>145</v>
      </c>
      <c r="C44" s="138">
        <v>1</v>
      </c>
      <c r="D44" s="145">
        <v>20000</v>
      </c>
      <c r="E44" s="145">
        <f t="shared" si="1"/>
        <v>20000</v>
      </c>
      <c r="I44" s="129"/>
      <c r="J44" s="129"/>
      <c r="K44" s="129"/>
      <c r="L44" s="129"/>
      <c r="O44" s="129"/>
    </row>
    <row r="45" spans="2:15" x14ac:dyDescent="0.2">
      <c r="B45" s="137" t="s">
        <v>146</v>
      </c>
      <c r="C45" s="138">
        <v>1</v>
      </c>
      <c r="D45" s="145">
        <v>30000</v>
      </c>
      <c r="E45" s="145">
        <f t="shared" si="1"/>
        <v>30000</v>
      </c>
      <c r="I45" s="129"/>
      <c r="J45" s="129"/>
      <c r="K45" s="129"/>
      <c r="L45" s="129"/>
      <c r="O45" s="129"/>
    </row>
    <row r="46" spans="2:15" x14ac:dyDescent="0.2">
      <c r="B46" s="137" t="s">
        <v>736</v>
      </c>
      <c r="C46" s="138">
        <v>1</v>
      </c>
      <c r="D46" s="145">
        <v>50000</v>
      </c>
      <c r="E46" s="145">
        <f t="shared" si="1"/>
        <v>50000</v>
      </c>
      <c r="I46" s="129"/>
      <c r="J46" s="129"/>
      <c r="K46" s="129"/>
      <c r="L46" s="129"/>
      <c r="O46" s="129"/>
    </row>
    <row r="47" spans="2:15" x14ac:dyDescent="0.2">
      <c r="B47" s="137" t="s">
        <v>737</v>
      </c>
      <c r="C47" s="138">
        <v>1</v>
      </c>
      <c r="D47" s="145">
        <v>200000</v>
      </c>
      <c r="E47" s="145">
        <f t="shared" si="1"/>
        <v>200000</v>
      </c>
      <c r="I47" s="129"/>
      <c r="J47" s="129"/>
      <c r="K47" s="129"/>
      <c r="L47" s="129"/>
      <c r="O47" s="129"/>
    </row>
    <row r="48" spans="2:15" x14ac:dyDescent="0.2">
      <c r="B48" s="137" t="s">
        <v>154</v>
      </c>
      <c r="C48" s="139">
        <v>1</v>
      </c>
      <c r="D48" s="145">
        <f>40*1200</f>
        <v>48000</v>
      </c>
      <c r="E48" s="145">
        <f t="shared" si="1"/>
        <v>48000</v>
      </c>
      <c r="I48" s="129"/>
      <c r="J48" s="129"/>
      <c r="K48" s="129"/>
      <c r="L48" s="129"/>
      <c r="O48" s="129"/>
    </row>
    <row r="49" spans="2:15" x14ac:dyDescent="0.2">
      <c r="B49" s="137" t="s">
        <v>738</v>
      </c>
      <c r="C49" s="138">
        <v>1</v>
      </c>
      <c r="D49" s="145">
        <v>80000</v>
      </c>
      <c r="E49" s="145">
        <f t="shared" si="1"/>
        <v>80000</v>
      </c>
      <c r="I49" s="129"/>
      <c r="J49" s="129"/>
      <c r="K49" s="129"/>
      <c r="L49" s="129"/>
      <c r="O49" s="129"/>
    </row>
    <row r="50" spans="2:15" x14ac:dyDescent="0.2">
      <c r="B50" s="137" t="s">
        <v>147</v>
      </c>
      <c r="C50" s="139">
        <v>1</v>
      </c>
      <c r="D50" s="145">
        <v>50000</v>
      </c>
      <c r="E50" s="145">
        <f t="shared" si="1"/>
        <v>50000</v>
      </c>
      <c r="I50" s="129"/>
      <c r="J50" s="129"/>
      <c r="K50" s="129"/>
      <c r="L50" s="129"/>
      <c r="O50" s="129"/>
    </row>
    <row r="51" spans="2:15" x14ac:dyDescent="0.2">
      <c r="B51" s="135" t="s">
        <v>155</v>
      </c>
      <c r="C51" s="136"/>
      <c r="D51" s="145"/>
      <c r="E51" s="145">
        <f t="shared" si="1"/>
        <v>0</v>
      </c>
      <c r="I51" s="129"/>
      <c r="J51" s="129"/>
      <c r="K51" s="129"/>
      <c r="L51" s="129"/>
      <c r="O51" s="129"/>
    </row>
    <row r="52" spans="2:15" x14ac:dyDescent="0.2">
      <c r="B52" s="137" t="s">
        <v>739</v>
      </c>
      <c r="C52" s="143">
        <v>0.1</v>
      </c>
      <c r="D52" s="145">
        <f>SUM(E15:E23)</f>
        <v>3613000</v>
      </c>
      <c r="E52" s="145">
        <f>+C52*D52</f>
        <v>361300</v>
      </c>
      <c r="I52" s="129"/>
      <c r="J52" s="129"/>
      <c r="K52" s="129"/>
      <c r="L52" s="129"/>
      <c r="O52" s="129"/>
    </row>
    <row r="53" spans="2:15" x14ac:dyDescent="0.2">
      <c r="B53" s="135" t="s">
        <v>156</v>
      </c>
      <c r="C53" s="143"/>
      <c r="D53" s="145"/>
      <c r="E53" s="145"/>
      <c r="I53" s="129"/>
      <c r="J53" s="129"/>
      <c r="K53" s="129"/>
      <c r="L53" s="129"/>
      <c r="O53" s="129"/>
    </row>
    <row r="54" spans="2:15" x14ac:dyDescent="0.2">
      <c r="B54" s="635" t="s">
        <v>157</v>
      </c>
      <c r="C54" s="143">
        <v>7.0000000000000007E-2</v>
      </c>
      <c r="D54" s="145">
        <f>SUM(E15:E53)</f>
        <v>6883300</v>
      </c>
      <c r="E54" s="145">
        <f>+C54*D54</f>
        <v>481831.00000000006</v>
      </c>
      <c r="I54" s="129"/>
      <c r="J54" s="129"/>
      <c r="K54" s="129"/>
      <c r="L54" s="129"/>
      <c r="O54" s="129"/>
    </row>
    <row r="55" spans="2:15" x14ac:dyDescent="0.2">
      <c r="B55" s="144" t="s">
        <v>159</v>
      </c>
      <c r="C55" s="133"/>
      <c r="D55" s="145"/>
      <c r="E55" s="145">
        <f>SUM(E14:E54)</f>
        <v>7365131</v>
      </c>
      <c r="I55" s="129"/>
      <c r="J55" s="129"/>
      <c r="K55" s="129"/>
      <c r="L55" s="129"/>
      <c r="O55" s="129"/>
    </row>
  </sheetData>
  <protectedRanges>
    <protectedRange password="CC3D" sqref="B25:B27 B15:B23" name="Rango1_4_1"/>
    <protectedRange password="CC3D" sqref="C55 C32:C42 C15:C23 C25:C30" name="Rango1_5_3_1"/>
    <protectedRange password="CC3D" sqref="D13:E55" name="Rango1_5_2_5"/>
    <protectedRange password="CC3D" sqref="B13" name="Rango1_4_2_1"/>
    <protectedRange password="CC3D" sqref="C13" name="Rango1_5_3_2_1"/>
    <protectedRange password="CC3D" sqref="F31" name="Rango1_5_2"/>
    <protectedRange password="CC3D" sqref="F33:F42" name="Rango1_5_2_1_1_1"/>
    <protectedRange password="CC3D" sqref="F32 F28:F30" name="Rango1_5_2_3"/>
    <protectedRange password="CC3D" sqref="B33" name="Rango1_4_1_3_9_2"/>
    <protectedRange password="CC3D" sqref="C31" name="Rango1_5_3_2_1_1_4_1"/>
    <protectedRange password="CC3D" sqref="F43:F54" name="Rango1_5_2_1_2_2"/>
    <protectedRange password="CC3D" sqref="C43:C54" name="Rango1_5_3_2_1_4_2"/>
    <protectedRange password="CC3D" sqref="F55" name="Rango1_5_2_1_1_3_2"/>
  </protectedRanges>
  <dataValidations count="1">
    <dataValidation type="list" showDropDown="1" showInputMessage="1" showErrorMessage="1" sqref="JA65547:JA65562 SW65547:SW65562 ACS65547:ACS65562 AMO65547:AMO65562 AWK65547:AWK65562 BGG65547:BGG65562 BQC65547:BQC65562 BZY65547:BZY65562 CJU65547:CJU65562 CTQ65547:CTQ65562 DDM65547:DDM65562 DNI65547:DNI65562 DXE65547:DXE65562 EHA65547:EHA65562 EQW65547:EQW65562 FAS65547:FAS65562 FKO65547:FKO65562 FUK65547:FUK65562 GEG65547:GEG65562 GOC65547:GOC65562 GXY65547:GXY65562 HHU65547:HHU65562 HRQ65547:HRQ65562 IBM65547:IBM65562 ILI65547:ILI65562 IVE65547:IVE65562 JFA65547:JFA65562 JOW65547:JOW65562 JYS65547:JYS65562 KIO65547:KIO65562 KSK65547:KSK65562 LCG65547:LCG65562 LMC65547:LMC65562 LVY65547:LVY65562 MFU65547:MFU65562 MPQ65547:MPQ65562 MZM65547:MZM65562 NJI65547:NJI65562 NTE65547:NTE65562 ODA65547:ODA65562 OMW65547:OMW65562 OWS65547:OWS65562 PGO65547:PGO65562 PQK65547:PQK65562 QAG65547:QAG65562 QKC65547:QKC65562 QTY65547:QTY65562 RDU65547:RDU65562 RNQ65547:RNQ65562 RXM65547:RXM65562 SHI65547:SHI65562 SRE65547:SRE65562 TBA65547:TBA65562 TKW65547:TKW65562 TUS65547:TUS65562 UEO65547:UEO65562 UOK65547:UOK65562 UYG65547:UYG65562 VIC65547:VIC65562 VRY65547:VRY65562 WBU65547:WBU65562 WLQ65547:WLQ65562 WVM65547:WVM65562 JA131083:JA131098 SW131083:SW131098 ACS131083:ACS131098 AMO131083:AMO131098 AWK131083:AWK131098 BGG131083:BGG131098 BQC131083:BQC131098 BZY131083:BZY131098 CJU131083:CJU131098 CTQ131083:CTQ131098 DDM131083:DDM131098 DNI131083:DNI131098 DXE131083:DXE131098 EHA131083:EHA131098 EQW131083:EQW131098 FAS131083:FAS131098 FKO131083:FKO131098 FUK131083:FUK131098 GEG131083:GEG131098 GOC131083:GOC131098 GXY131083:GXY131098 HHU131083:HHU131098 HRQ131083:HRQ131098 IBM131083:IBM131098 ILI131083:ILI131098 IVE131083:IVE131098 JFA131083:JFA131098 JOW131083:JOW131098 JYS131083:JYS131098 KIO131083:KIO131098 KSK131083:KSK131098 LCG131083:LCG131098 LMC131083:LMC131098 LVY131083:LVY131098 MFU131083:MFU131098 MPQ131083:MPQ131098 MZM131083:MZM131098 NJI131083:NJI131098 NTE131083:NTE131098 ODA131083:ODA131098 OMW131083:OMW131098 OWS131083:OWS131098 PGO131083:PGO131098 PQK131083:PQK131098 QAG131083:QAG131098 QKC131083:QKC131098 QTY131083:QTY131098 RDU131083:RDU131098 RNQ131083:RNQ131098 RXM131083:RXM131098 SHI131083:SHI131098 SRE131083:SRE131098 TBA131083:TBA131098 TKW131083:TKW131098 TUS131083:TUS131098 UEO131083:UEO131098 UOK131083:UOK131098 UYG131083:UYG131098 VIC131083:VIC131098 VRY131083:VRY131098 WBU131083:WBU131098 WLQ131083:WLQ131098 WVM131083:WVM131098 JA196619:JA196634 SW196619:SW196634 ACS196619:ACS196634 AMO196619:AMO196634 AWK196619:AWK196634 BGG196619:BGG196634 BQC196619:BQC196634 BZY196619:BZY196634 CJU196619:CJU196634 CTQ196619:CTQ196634 DDM196619:DDM196634 DNI196619:DNI196634 DXE196619:DXE196634 EHA196619:EHA196634 EQW196619:EQW196634 FAS196619:FAS196634 FKO196619:FKO196634 FUK196619:FUK196634 GEG196619:GEG196634 GOC196619:GOC196634 GXY196619:GXY196634 HHU196619:HHU196634 HRQ196619:HRQ196634 IBM196619:IBM196634 ILI196619:ILI196634 IVE196619:IVE196634 JFA196619:JFA196634 JOW196619:JOW196634 JYS196619:JYS196634 KIO196619:KIO196634 KSK196619:KSK196634 LCG196619:LCG196634 LMC196619:LMC196634 LVY196619:LVY196634 MFU196619:MFU196634 MPQ196619:MPQ196634 MZM196619:MZM196634 NJI196619:NJI196634 NTE196619:NTE196634 ODA196619:ODA196634 OMW196619:OMW196634 OWS196619:OWS196634 PGO196619:PGO196634 PQK196619:PQK196634 QAG196619:QAG196634 QKC196619:QKC196634 QTY196619:QTY196634 RDU196619:RDU196634 RNQ196619:RNQ196634 RXM196619:RXM196634 SHI196619:SHI196634 SRE196619:SRE196634 TBA196619:TBA196634 TKW196619:TKW196634 TUS196619:TUS196634 UEO196619:UEO196634 UOK196619:UOK196634 UYG196619:UYG196634 VIC196619:VIC196634 VRY196619:VRY196634 WBU196619:WBU196634 WLQ196619:WLQ196634 WVM196619:WVM196634 JA262155:JA262170 SW262155:SW262170 ACS262155:ACS262170 AMO262155:AMO262170 AWK262155:AWK262170 BGG262155:BGG262170 BQC262155:BQC262170 BZY262155:BZY262170 CJU262155:CJU262170 CTQ262155:CTQ262170 DDM262155:DDM262170 DNI262155:DNI262170 DXE262155:DXE262170 EHA262155:EHA262170 EQW262155:EQW262170 FAS262155:FAS262170 FKO262155:FKO262170 FUK262155:FUK262170 GEG262155:GEG262170 GOC262155:GOC262170 GXY262155:GXY262170 HHU262155:HHU262170 HRQ262155:HRQ262170 IBM262155:IBM262170 ILI262155:ILI262170 IVE262155:IVE262170 JFA262155:JFA262170 JOW262155:JOW262170 JYS262155:JYS262170 KIO262155:KIO262170 KSK262155:KSK262170 LCG262155:LCG262170 LMC262155:LMC262170 LVY262155:LVY262170 MFU262155:MFU262170 MPQ262155:MPQ262170 MZM262155:MZM262170 NJI262155:NJI262170 NTE262155:NTE262170 ODA262155:ODA262170 OMW262155:OMW262170 OWS262155:OWS262170 PGO262155:PGO262170 PQK262155:PQK262170 QAG262155:QAG262170 QKC262155:QKC262170 QTY262155:QTY262170 RDU262155:RDU262170 RNQ262155:RNQ262170 RXM262155:RXM262170 SHI262155:SHI262170 SRE262155:SRE262170 TBA262155:TBA262170 TKW262155:TKW262170 TUS262155:TUS262170 UEO262155:UEO262170 UOK262155:UOK262170 UYG262155:UYG262170 VIC262155:VIC262170 VRY262155:VRY262170 WBU262155:WBU262170 WLQ262155:WLQ262170 WVM262155:WVM262170 JA327691:JA327706 SW327691:SW327706 ACS327691:ACS327706 AMO327691:AMO327706 AWK327691:AWK327706 BGG327691:BGG327706 BQC327691:BQC327706 BZY327691:BZY327706 CJU327691:CJU327706 CTQ327691:CTQ327706 DDM327691:DDM327706 DNI327691:DNI327706 DXE327691:DXE327706 EHA327691:EHA327706 EQW327691:EQW327706 FAS327691:FAS327706 FKO327691:FKO327706 FUK327691:FUK327706 GEG327691:GEG327706 GOC327691:GOC327706 GXY327691:GXY327706 HHU327691:HHU327706 HRQ327691:HRQ327706 IBM327691:IBM327706 ILI327691:ILI327706 IVE327691:IVE327706 JFA327691:JFA327706 JOW327691:JOW327706 JYS327691:JYS327706 KIO327691:KIO327706 KSK327691:KSK327706 LCG327691:LCG327706 LMC327691:LMC327706 LVY327691:LVY327706 MFU327691:MFU327706 MPQ327691:MPQ327706 MZM327691:MZM327706 NJI327691:NJI327706 NTE327691:NTE327706 ODA327691:ODA327706 OMW327691:OMW327706 OWS327691:OWS327706 PGO327691:PGO327706 PQK327691:PQK327706 QAG327691:QAG327706 QKC327691:QKC327706 QTY327691:QTY327706 RDU327691:RDU327706 RNQ327691:RNQ327706 RXM327691:RXM327706 SHI327691:SHI327706 SRE327691:SRE327706 TBA327691:TBA327706 TKW327691:TKW327706 TUS327691:TUS327706 UEO327691:UEO327706 UOK327691:UOK327706 UYG327691:UYG327706 VIC327691:VIC327706 VRY327691:VRY327706 WBU327691:WBU327706 WLQ327691:WLQ327706 WVM327691:WVM327706 JA393227:JA393242 SW393227:SW393242 ACS393227:ACS393242 AMO393227:AMO393242 AWK393227:AWK393242 BGG393227:BGG393242 BQC393227:BQC393242 BZY393227:BZY393242 CJU393227:CJU393242 CTQ393227:CTQ393242 DDM393227:DDM393242 DNI393227:DNI393242 DXE393227:DXE393242 EHA393227:EHA393242 EQW393227:EQW393242 FAS393227:FAS393242 FKO393227:FKO393242 FUK393227:FUK393242 GEG393227:GEG393242 GOC393227:GOC393242 GXY393227:GXY393242 HHU393227:HHU393242 HRQ393227:HRQ393242 IBM393227:IBM393242 ILI393227:ILI393242 IVE393227:IVE393242 JFA393227:JFA393242 JOW393227:JOW393242 JYS393227:JYS393242 KIO393227:KIO393242 KSK393227:KSK393242 LCG393227:LCG393242 LMC393227:LMC393242 LVY393227:LVY393242 MFU393227:MFU393242 MPQ393227:MPQ393242 MZM393227:MZM393242 NJI393227:NJI393242 NTE393227:NTE393242 ODA393227:ODA393242 OMW393227:OMW393242 OWS393227:OWS393242 PGO393227:PGO393242 PQK393227:PQK393242 QAG393227:QAG393242 QKC393227:QKC393242 QTY393227:QTY393242 RDU393227:RDU393242 RNQ393227:RNQ393242 RXM393227:RXM393242 SHI393227:SHI393242 SRE393227:SRE393242 TBA393227:TBA393242 TKW393227:TKW393242 TUS393227:TUS393242 UEO393227:UEO393242 UOK393227:UOK393242 UYG393227:UYG393242 VIC393227:VIC393242 VRY393227:VRY393242 WBU393227:WBU393242 WLQ393227:WLQ393242 WVM393227:WVM393242 JA458763:JA458778 SW458763:SW458778 ACS458763:ACS458778 AMO458763:AMO458778 AWK458763:AWK458778 BGG458763:BGG458778 BQC458763:BQC458778 BZY458763:BZY458778 CJU458763:CJU458778 CTQ458763:CTQ458778 DDM458763:DDM458778 DNI458763:DNI458778 DXE458763:DXE458778 EHA458763:EHA458778 EQW458763:EQW458778 FAS458763:FAS458778 FKO458763:FKO458778 FUK458763:FUK458778 GEG458763:GEG458778 GOC458763:GOC458778 GXY458763:GXY458778 HHU458763:HHU458778 HRQ458763:HRQ458778 IBM458763:IBM458778 ILI458763:ILI458778 IVE458763:IVE458778 JFA458763:JFA458778 JOW458763:JOW458778 JYS458763:JYS458778 KIO458763:KIO458778 KSK458763:KSK458778 LCG458763:LCG458778 LMC458763:LMC458778 LVY458763:LVY458778 MFU458763:MFU458778 MPQ458763:MPQ458778 MZM458763:MZM458778 NJI458763:NJI458778 NTE458763:NTE458778 ODA458763:ODA458778 OMW458763:OMW458778 OWS458763:OWS458778 PGO458763:PGO458778 PQK458763:PQK458778 QAG458763:QAG458778 QKC458763:QKC458778 QTY458763:QTY458778 RDU458763:RDU458778 RNQ458763:RNQ458778 RXM458763:RXM458778 SHI458763:SHI458778 SRE458763:SRE458778 TBA458763:TBA458778 TKW458763:TKW458778 TUS458763:TUS458778 UEO458763:UEO458778 UOK458763:UOK458778 UYG458763:UYG458778 VIC458763:VIC458778 VRY458763:VRY458778 WBU458763:WBU458778 WLQ458763:WLQ458778 WVM458763:WVM458778 JA524299:JA524314 SW524299:SW524314 ACS524299:ACS524314 AMO524299:AMO524314 AWK524299:AWK524314 BGG524299:BGG524314 BQC524299:BQC524314 BZY524299:BZY524314 CJU524299:CJU524314 CTQ524299:CTQ524314 DDM524299:DDM524314 DNI524299:DNI524314 DXE524299:DXE524314 EHA524299:EHA524314 EQW524299:EQW524314 FAS524299:FAS524314 FKO524299:FKO524314 FUK524299:FUK524314 GEG524299:GEG524314 GOC524299:GOC524314 GXY524299:GXY524314 HHU524299:HHU524314 HRQ524299:HRQ524314 IBM524299:IBM524314 ILI524299:ILI524314 IVE524299:IVE524314 JFA524299:JFA524314 JOW524299:JOW524314 JYS524299:JYS524314 KIO524299:KIO524314 KSK524299:KSK524314 LCG524299:LCG524314 LMC524299:LMC524314 LVY524299:LVY524314 MFU524299:MFU524314 MPQ524299:MPQ524314 MZM524299:MZM524314 NJI524299:NJI524314 NTE524299:NTE524314 ODA524299:ODA524314 OMW524299:OMW524314 OWS524299:OWS524314 PGO524299:PGO524314 PQK524299:PQK524314 QAG524299:QAG524314 QKC524299:QKC524314 QTY524299:QTY524314 RDU524299:RDU524314 RNQ524299:RNQ524314 RXM524299:RXM524314 SHI524299:SHI524314 SRE524299:SRE524314 TBA524299:TBA524314 TKW524299:TKW524314 TUS524299:TUS524314 UEO524299:UEO524314 UOK524299:UOK524314 UYG524299:UYG524314 VIC524299:VIC524314 VRY524299:VRY524314 WBU524299:WBU524314 WLQ524299:WLQ524314 WVM524299:WVM524314 JA589835:JA589850 SW589835:SW589850 ACS589835:ACS589850 AMO589835:AMO589850 AWK589835:AWK589850 BGG589835:BGG589850 BQC589835:BQC589850 BZY589835:BZY589850 CJU589835:CJU589850 CTQ589835:CTQ589850 DDM589835:DDM589850 DNI589835:DNI589850 DXE589835:DXE589850 EHA589835:EHA589850 EQW589835:EQW589850 FAS589835:FAS589850 FKO589835:FKO589850 FUK589835:FUK589850 GEG589835:GEG589850 GOC589835:GOC589850 GXY589835:GXY589850 HHU589835:HHU589850 HRQ589835:HRQ589850 IBM589835:IBM589850 ILI589835:ILI589850 IVE589835:IVE589850 JFA589835:JFA589850 JOW589835:JOW589850 JYS589835:JYS589850 KIO589835:KIO589850 KSK589835:KSK589850 LCG589835:LCG589850 LMC589835:LMC589850 LVY589835:LVY589850 MFU589835:MFU589850 MPQ589835:MPQ589850 MZM589835:MZM589850 NJI589835:NJI589850 NTE589835:NTE589850 ODA589835:ODA589850 OMW589835:OMW589850 OWS589835:OWS589850 PGO589835:PGO589850 PQK589835:PQK589850 QAG589835:QAG589850 QKC589835:QKC589850 QTY589835:QTY589850 RDU589835:RDU589850 RNQ589835:RNQ589850 RXM589835:RXM589850 SHI589835:SHI589850 SRE589835:SRE589850 TBA589835:TBA589850 TKW589835:TKW589850 TUS589835:TUS589850 UEO589835:UEO589850 UOK589835:UOK589850 UYG589835:UYG589850 VIC589835:VIC589850 VRY589835:VRY589850 WBU589835:WBU589850 WLQ589835:WLQ589850 WVM589835:WVM589850 JA655371:JA655386 SW655371:SW655386 ACS655371:ACS655386 AMO655371:AMO655386 AWK655371:AWK655386 BGG655371:BGG655386 BQC655371:BQC655386 BZY655371:BZY655386 CJU655371:CJU655386 CTQ655371:CTQ655386 DDM655371:DDM655386 DNI655371:DNI655386 DXE655371:DXE655386 EHA655371:EHA655386 EQW655371:EQW655386 FAS655371:FAS655386 FKO655371:FKO655386 FUK655371:FUK655386 GEG655371:GEG655386 GOC655371:GOC655386 GXY655371:GXY655386 HHU655371:HHU655386 HRQ655371:HRQ655386 IBM655371:IBM655386 ILI655371:ILI655386 IVE655371:IVE655386 JFA655371:JFA655386 JOW655371:JOW655386 JYS655371:JYS655386 KIO655371:KIO655386 KSK655371:KSK655386 LCG655371:LCG655386 LMC655371:LMC655386 LVY655371:LVY655386 MFU655371:MFU655386 MPQ655371:MPQ655386 MZM655371:MZM655386 NJI655371:NJI655386 NTE655371:NTE655386 ODA655371:ODA655386 OMW655371:OMW655386 OWS655371:OWS655386 PGO655371:PGO655386 PQK655371:PQK655386 QAG655371:QAG655386 QKC655371:QKC655386 QTY655371:QTY655386 RDU655371:RDU655386 RNQ655371:RNQ655386 RXM655371:RXM655386 SHI655371:SHI655386 SRE655371:SRE655386 TBA655371:TBA655386 TKW655371:TKW655386 TUS655371:TUS655386 UEO655371:UEO655386 UOK655371:UOK655386 UYG655371:UYG655386 VIC655371:VIC655386 VRY655371:VRY655386 WBU655371:WBU655386 WLQ655371:WLQ655386 WVM655371:WVM655386 JA720907:JA720922 SW720907:SW720922 ACS720907:ACS720922 AMO720907:AMO720922 AWK720907:AWK720922 BGG720907:BGG720922 BQC720907:BQC720922 BZY720907:BZY720922 CJU720907:CJU720922 CTQ720907:CTQ720922 DDM720907:DDM720922 DNI720907:DNI720922 DXE720907:DXE720922 EHA720907:EHA720922 EQW720907:EQW720922 FAS720907:FAS720922 FKO720907:FKO720922 FUK720907:FUK720922 GEG720907:GEG720922 GOC720907:GOC720922 GXY720907:GXY720922 HHU720907:HHU720922 HRQ720907:HRQ720922 IBM720907:IBM720922 ILI720907:ILI720922 IVE720907:IVE720922 JFA720907:JFA720922 JOW720907:JOW720922 JYS720907:JYS720922 KIO720907:KIO720922 KSK720907:KSK720922 LCG720907:LCG720922 LMC720907:LMC720922 LVY720907:LVY720922 MFU720907:MFU720922 MPQ720907:MPQ720922 MZM720907:MZM720922 NJI720907:NJI720922 NTE720907:NTE720922 ODA720907:ODA720922 OMW720907:OMW720922 OWS720907:OWS720922 PGO720907:PGO720922 PQK720907:PQK720922 QAG720907:QAG720922 QKC720907:QKC720922 QTY720907:QTY720922 RDU720907:RDU720922 RNQ720907:RNQ720922 RXM720907:RXM720922 SHI720907:SHI720922 SRE720907:SRE720922 TBA720907:TBA720922 TKW720907:TKW720922 TUS720907:TUS720922 UEO720907:UEO720922 UOK720907:UOK720922 UYG720907:UYG720922 VIC720907:VIC720922 VRY720907:VRY720922 WBU720907:WBU720922 WLQ720907:WLQ720922 WVM720907:WVM720922 JA786443:JA786458 SW786443:SW786458 ACS786443:ACS786458 AMO786443:AMO786458 AWK786443:AWK786458 BGG786443:BGG786458 BQC786443:BQC786458 BZY786443:BZY786458 CJU786443:CJU786458 CTQ786443:CTQ786458 DDM786443:DDM786458 DNI786443:DNI786458 DXE786443:DXE786458 EHA786443:EHA786458 EQW786443:EQW786458 FAS786443:FAS786458 FKO786443:FKO786458 FUK786443:FUK786458 GEG786443:GEG786458 GOC786443:GOC786458 GXY786443:GXY786458 HHU786443:HHU786458 HRQ786443:HRQ786458 IBM786443:IBM786458 ILI786443:ILI786458 IVE786443:IVE786458 JFA786443:JFA786458 JOW786443:JOW786458 JYS786443:JYS786458 KIO786443:KIO786458 KSK786443:KSK786458 LCG786443:LCG786458 LMC786443:LMC786458 LVY786443:LVY786458 MFU786443:MFU786458 MPQ786443:MPQ786458 MZM786443:MZM786458 NJI786443:NJI786458 NTE786443:NTE786458 ODA786443:ODA786458 OMW786443:OMW786458 OWS786443:OWS786458 PGO786443:PGO786458 PQK786443:PQK786458 QAG786443:QAG786458 QKC786443:QKC786458 QTY786443:QTY786458 RDU786443:RDU786458 RNQ786443:RNQ786458 RXM786443:RXM786458 SHI786443:SHI786458 SRE786443:SRE786458 TBA786443:TBA786458 TKW786443:TKW786458 TUS786443:TUS786458 UEO786443:UEO786458 UOK786443:UOK786458 UYG786443:UYG786458 VIC786443:VIC786458 VRY786443:VRY786458 WBU786443:WBU786458 WLQ786443:WLQ786458 WVM786443:WVM786458 JA851979:JA851994 SW851979:SW851994 ACS851979:ACS851994 AMO851979:AMO851994 AWK851979:AWK851994 BGG851979:BGG851994 BQC851979:BQC851994 BZY851979:BZY851994 CJU851979:CJU851994 CTQ851979:CTQ851994 DDM851979:DDM851994 DNI851979:DNI851994 DXE851979:DXE851994 EHA851979:EHA851994 EQW851979:EQW851994 FAS851979:FAS851994 FKO851979:FKO851994 FUK851979:FUK851994 GEG851979:GEG851994 GOC851979:GOC851994 GXY851979:GXY851994 HHU851979:HHU851994 HRQ851979:HRQ851994 IBM851979:IBM851994 ILI851979:ILI851994 IVE851979:IVE851994 JFA851979:JFA851994 JOW851979:JOW851994 JYS851979:JYS851994 KIO851979:KIO851994 KSK851979:KSK851994 LCG851979:LCG851994 LMC851979:LMC851994 LVY851979:LVY851994 MFU851979:MFU851994 MPQ851979:MPQ851994 MZM851979:MZM851994 NJI851979:NJI851994 NTE851979:NTE851994 ODA851979:ODA851994 OMW851979:OMW851994 OWS851979:OWS851994 PGO851979:PGO851994 PQK851979:PQK851994 QAG851979:QAG851994 QKC851979:QKC851994 QTY851979:QTY851994 RDU851979:RDU851994 RNQ851979:RNQ851994 RXM851979:RXM851994 SHI851979:SHI851994 SRE851979:SRE851994 TBA851979:TBA851994 TKW851979:TKW851994 TUS851979:TUS851994 UEO851979:UEO851994 UOK851979:UOK851994 UYG851979:UYG851994 VIC851979:VIC851994 VRY851979:VRY851994 WBU851979:WBU851994 WLQ851979:WLQ851994 WVM851979:WVM851994 JA917515:JA917530 SW917515:SW917530 ACS917515:ACS917530 AMO917515:AMO917530 AWK917515:AWK917530 BGG917515:BGG917530 BQC917515:BQC917530 BZY917515:BZY917530 CJU917515:CJU917530 CTQ917515:CTQ917530 DDM917515:DDM917530 DNI917515:DNI917530 DXE917515:DXE917530 EHA917515:EHA917530 EQW917515:EQW917530 FAS917515:FAS917530 FKO917515:FKO917530 FUK917515:FUK917530 GEG917515:GEG917530 GOC917515:GOC917530 GXY917515:GXY917530 HHU917515:HHU917530 HRQ917515:HRQ917530 IBM917515:IBM917530 ILI917515:ILI917530 IVE917515:IVE917530 JFA917515:JFA917530 JOW917515:JOW917530 JYS917515:JYS917530 KIO917515:KIO917530 KSK917515:KSK917530 LCG917515:LCG917530 LMC917515:LMC917530 LVY917515:LVY917530 MFU917515:MFU917530 MPQ917515:MPQ917530 MZM917515:MZM917530 NJI917515:NJI917530 NTE917515:NTE917530 ODA917515:ODA917530 OMW917515:OMW917530 OWS917515:OWS917530 PGO917515:PGO917530 PQK917515:PQK917530 QAG917515:QAG917530 QKC917515:QKC917530 QTY917515:QTY917530 RDU917515:RDU917530 RNQ917515:RNQ917530 RXM917515:RXM917530 SHI917515:SHI917530 SRE917515:SRE917530 TBA917515:TBA917530 TKW917515:TKW917530 TUS917515:TUS917530 UEO917515:UEO917530 UOK917515:UOK917530 UYG917515:UYG917530 VIC917515:VIC917530 VRY917515:VRY917530 WBU917515:WBU917530 WLQ917515:WLQ917530 WVM917515:WVM917530 JA983051:JA983066 SW983051:SW983066 ACS983051:ACS983066 AMO983051:AMO983066 AWK983051:AWK983066 BGG983051:BGG983066 BQC983051:BQC983066 BZY983051:BZY983066 CJU983051:CJU983066 CTQ983051:CTQ983066 DDM983051:DDM983066 DNI983051:DNI983066 DXE983051:DXE983066 EHA983051:EHA983066 EQW983051:EQW983066 FAS983051:FAS983066 FKO983051:FKO983066 FUK983051:FUK983066 GEG983051:GEG983066 GOC983051:GOC983066 GXY983051:GXY983066 HHU983051:HHU983066 HRQ983051:HRQ983066 IBM983051:IBM983066 ILI983051:ILI983066 IVE983051:IVE983066 JFA983051:JFA983066 JOW983051:JOW983066 JYS983051:JYS983066 KIO983051:KIO983066 KSK983051:KSK983066 LCG983051:LCG983066 LMC983051:LMC983066 LVY983051:LVY983066 MFU983051:MFU983066 MPQ983051:MPQ983066 MZM983051:MZM983066 NJI983051:NJI983066 NTE983051:NTE983066 ODA983051:ODA983066 OMW983051:OMW983066 OWS983051:OWS983066 PGO983051:PGO983066 PQK983051:PQK983066 QAG983051:QAG983066 QKC983051:QKC983066 QTY983051:QTY983066 RDU983051:RDU983066 RNQ983051:RNQ983066 RXM983051:RXM983066 SHI983051:SHI983066 SRE983051:SRE983066 TBA983051:TBA983066 TKW983051:TKW983066 TUS983051:TUS983066 UEO983051:UEO983066 UOK983051:UOK983066 UYG983051:UYG983066 VIC983051:VIC983066 VRY983051:VRY983066 WBU983051:WBU983066 WLQ983051:WLQ983066 WVM983051:WVM983066 JA65563:JB65591 SW65563:SX65591 ACS65563:ACT65591 AMO65563:AMP65591 AWK65563:AWL65591 BGG65563:BGH65591 BQC65563:BQD65591 BZY65563:BZZ65591 CJU65563:CJV65591 CTQ65563:CTR65591 DDM65563:DDN65591 DNI65563:DNJ65591 DXE65563:DXF65591 EHA65563:EHB65591 EQW65563:EQX65591 FAS65563:FAT65591 FKO65563:FKP65591 FUK65563:FUL65591 GEG65563:GEH65591 GOC65563:GOD65591 GXY65563:GXZ65591 HHU65563:HHV65591 HRQ65563:HRR65591 IBM65563:IBN65591 ILI65563:ILJ65591 IVE65563:IVF65591 JFA65563:JFB65591 JOW65563:JOX65591 JYS65563:JYT65591 KIO65563:KIP65591 KSK65563:KSL65591 LCG65563:LCH65591 LMC65563:LMD65591 LVY65563:LVZ65591 MFU65563:MFV65591 MPQ65563:MPR65591 MZM65563:MZN65591 NJI65563:NJJ65591 NTE65563:NTF65591 ODA65563:ODB65591 OMW65563:OMX65591 OWS65563:OWT65591 PGO65563:PGP65591 PQK65563:PQL65591 QAG65563:QAH65591 QKC65563:QKD65591 QTY65563:QTZ65591 RDU65563:RDV65591 RNQ65563:RNR65591 RXM65563:RXN65591 SHI65563:SHJ65591 SRE65563:SRF65591 TBA65563:TBB65591 TKW65563:TKX65591 TUS65563:TUT65591 UEO65563:UEP65591 UOK65563:UOL65591 UYG65563:UYH65591 VIC65563:VID65591 VRY65563:VRZ65591 WBU65563:WBV65591 WLQ65563:WLR65591 WVM65563:WVN65591 JA131099:JB131127 SW131099:SX131127 ACS131099:ACT131127 AMO131099:AMP131127 AWK131099:AWL131127 BGG131099:BGH131127 BQC131099:BQD131127 BZY131099:BZZ131127 CJU131099:CJV131127 CTQ131099:CTR131127 DDM131099:DDN131127 DNI131099:DNJ131127 DXE131099:DXF131127 EHA131099:EHB131127 EQW131099:EQX131127 FAS131099:FAT131127 FKO131099:FKP131127 FUK131099:FUL131127 GEG131099:GEH131127 GOC131099:GOD131127 GXY131099:GXZ131127 HHU131099:HHV131127 HRQ131099:HRR131127 IBM131099:IBN131127 ILI131099:ILJ131127 IVE131099:IVF131127 JFA131099:JFB131127 JOW131099:JOX131127 JYS131099:JYT131127 KIO131099:KIP131127 KSK131099:KSL131127 LCG131099:LCH131127 LMC131099:LMD131127 LVY131099:LVZ131127 MFU131099:MFV131127 MPQ131099:MPR131127 MZM131099:MZN131127 NJI131099:NJJ131127 NTE131099:NTF131127 ODA131099:ODB131127 OMW131099:OMX131127 OWS131099:OWT131127 PGO131099:PGP131127 PQK131099:PQL131127 QAG131099:QAH131127 QKC131099:QKD131127 QTY131099:QTZ131127 RDU131099:RDV131127 RNQ131099:RNR131127 RXM131099:RXN131127 SHI131099:SHJ131127 SRE131099:SRF131127 TBA131099:TBB131127 TKW131099:TKX131127 TUS131099:TUT131127 UEO131099:UEP131127 UOK131099:UOL131127 UYG131099:UYH131127 VIC131099:VID131127 VRY131099:VRZ131127 WBU131099:WBV131127 WLQ131099:WLR131127 WVM131099:WVN131127 JA196635:JB196663 SW196635:SX196663 ACS196635:ACT196663 AMO196635:AMP196663 AWK196635:AWL196663 BGG196635:BGH196663 BQC196635:BQD196663 BZY196635:BZZ196663 CJU196635:CJV196663 CTQ196635:CTR196663 DDM196635:DDN196663 DNI196635:DNJ196663 DXE196635:DXF196663 EHA196635:EHB196663 EQW196635:EQX196663 FAS196635:FAT196663 FKO196635:FKP196663 FUK196635:FUL196663 GEG196635:GEH196663 GOC196635:GOD196663 GXY196635:GXZ196663 HHU196635:HHV196663 HRQ196635:HRR196663 IBM196635:IBN196663 ILI196635:ILJ196663 IVE196635:IVF196663 JFA196635:JFB196663 JOW196635:JOX196663 JYS196635:JYT196663 KIO196635:KIP196663 KSK196635:KSL196663 LCG196635:LCH196663 LMC196635:LMD196663 LVY196635:LVZ196663 MFU196635:MFV196663 MPQ196635:MPR196663 MZM196635:MZN196663 NJI196635:NJJ196663 NTE196635:NTF196663 ODA196635:ODB196663 OMW196635:OMX196663 OWS196635:OWT196663 PGO196635:PGP196663 PQK196635:PQL196663 QAG196635:QAH196663 QKC196635:QKD196663 QTY196635:QTZ196663 RDU196635:RDV196663 RNQ196635:RNR196663 RXM196635:RXN196663 SHI196635:SHJ196663 SRE196635:SRF196663 TBA196635:TBB196663 TKW196635:TKX196663 TUS196635:TUT196663 UEO196635:UEP196663 UOK196635:UOL196663 UYG196635:UYH196663 VIC196635:VID196663 VRY196635:VRZ196663 WBU196635:WBV196663 WLQ196635:WLR196663 WVM196635:WVN196663 JA262171:JB262199 SW262171:SX262199 ACS262171:ACT262199 AMO262171:AMP262199 AWK262171:AWL262199 BGG262171:BGH262199 BQC262171:BQD262199 BZY262171:BZZ262199 CJU262171:CJV262199 CTQ262171:CTR262199 DDM262171:DDN262199 DNI262171:DNJ262199 DXE262171:DXF262199 EHA262171:EHB262199 EQW262171:EQX262199 FAS262171:FAT262199 FKO262171:FKP262199 FUK262171:FUL262199 GEG262171:GEH262199 GOC262171:GOD262199 GXY262171:GXZ262199 HHU262171:HHV262199 HRQ262171:HRR262199 IBM262171:IBN262199 ILI262171:ILJ262199 IVE262171:IVF262199 JFA262171:JFB262199 JOW262171:JOX262199 JYS262171:JYT262199 KIO262171:KIP262199 KSK262171:KSL262199 LCG262171:LCH262199 LMC262171:LMD262199 LVY262171:LVZ262199 MFU262171:MFV262199 MPQ262171:MPR262199 MZM262171:MZN262199 NJI262171:NJJ262199 NTE262171:NTF262199 ODA262171:ODB262199 OMW262171:OMX262199 OWS262171:OWT262199 PGO262171:PGP262199 PQK262171:PQL262199 QAG262171:QAH262199 QKC262171:QKD262199 QTY262171:QTZ262199 RDU262171:RDV262199 RNQ262171:RNR262199 RXM262171:RXN262199 SHI262171:SHJ262199 SRE262171:SRF262199 TBA262171:TBB262199 TKW262171:TKX262199 TUS262171:TUT262199 UEO262171:UEP262199 UOK262171:UOL262199 UYG262171:UYH262199 VIC262171:VID262199 VRY262171:VRZ262199 WBU262171:WBV262199 WLQ262171:WLR262199 WVM262171:WVN262199 JA327707:JB327735 SW327707:SX327735 ACS327707:ACT327735 AMO327707:AMP327735 AWK327707:AWL327735 BGG327707:BGH327735 BQC327707:BQD327735 BZY327707:BZZ327735 CJU327707:CJV327735 CTQ327707:CTR327735 DDM327707:DDN327735 DNI327707:DNJ327735 DXE327707:DXF327735 EHA327707:EHB327735 EQW327707:EQX327735 FAS327707:FAT327735 FKO327707:FKP327735 FUK327707:FUL327735 GEG327707:GEH327735 GOC327707:GOD327735 GXY327707:GXZ327735 HHU327707:HHV327735 HRQ327707:HRR327735 IBM327707:IBN327735 ILI327707:ILJ327735 IVE327707:IVF327735 JFA327707:JFB327735 JOW327707:JOX327735 JYS327707:JYT327735 KIO327707:KIP327735 KSK327707:KSL327735 LCG327707:LCH327735 LMC327707:LMD327735 LVY327707:LVZ327735 MFU327707:MFV327735 MPQ327707:MPR327735 MZM327707:MZN327735 NJI327707:NJJ327735 NTE327707:NTF327735 ODA327707:ODB327735 OMW327707:OMX327735 OWS327707:OWT327735 PGO327707:PGP327735 PQK327707:PQL327735 QAG327707:QAH327735 QKC327707:QKD327735 QTY327707:QTZ327735 RDU327707:RDV327735 RNQ327707:RNR327735 RXM327707:RXN327735 SHI327707:SHJ327735 SRE327707:SRF327735 TBA327707:TBB327735 TKW327707:TKX327735 TUS327707:TUT327735 UEO327707:UEP327735 UOK327707:UOL327735 UYG327707:UYH327735 VIC327707:VID327735 VRY327707:VRZ327735 WBU327707:WBV327735 WLQ327707:WLR327735 WVM327707:WVN327735 JA393243:JB393271 SW393243:SX393271 ACS393243:ACT393271 AMO393243:AMP393271 AWK393243:AWL393271 BGG393243:BGH393271 BQC393243:BQD393271 BZY393243:BZZ393271 CJU393243:CJV393271 CTQ393243:CTR393271 DDM393243:DDN393271 DNI393243:DNJ393271 DXE393243:DXF393271 EHA393243:EHB393271 EQW393243:EQX393271 FAS393243:FAT393271 FKO393243:FKP393271 FUK393243:FUL393271 GEG393243:GEH393271 GOC393243:GOD393271 GXY393243:GXZ393271 HHU393243:HHV393271 HRQ393243:HRR393271 IBM393243:IBN393271 ILI393243:ILJ393271 IVE393243:IVF393271 JFA393243:JFB393271 JOW393243:JOX393271 JYS393243:JYT393271 KIO393243:KIP393271 KSK393243:KSL393271 LCG393243:LCH393271 LMC393243:LMD393271 LVY393243:LVZ393271 MFU393243:MFV393271 MPQ393243:MPR393271 MZM393243:MZN393271 NJI393243:NJJ393271 NTE393243:NTF393271 ODA393243:ODB393271 OMW393243:OMX393271 OWS393243:OWT393271 PGO393243:PGP393271 PQK393243:PQL393271 QAG393243:QAH393271 QKC393243:QKD393271 QTY393243:QTZ393271 RDU393243:RDV393271 RNQ393243:RNR393271 RXM393243:RXN393271 SHI393243:SHJ393271 SRE393243:SRF393271 TBA393243:TBB393271 TKW393243:TKX393271 TUS393243:TUT393271 UEO393243:UEP393271 UOK393243:UOL393271 UYG393243:UYH393271 VIC393243:VID393271 VRY393243:VRZ393271 WBU393243:WBV393271 WLQ393243:WLR393271 WVM393243:WVN393271 JA458779:JB458807 SW458779:SX458807 ACS458779:ACT458807 AMO458779:AMP458807 AWK458779:AWL458807 BGG458779:BGH458807 BQC458779:BQD458807 BZY458779:BZZ458807 CJU458779:CJV458807 CTQ458779:CTR458807 DDM458779:DDN458807 DNI458779:DNJ458807 DXE458779:DXF458807 EHA458779:EHB458807 EQW458779:EQX458807 FAS458779:FAT458807 FKO458779:FKP458807 FUK458779:FUL458807 GEG458779:GEH458807 GOC458779:GOD458807 GXY458779:GXZ458807 HHU458779:HHV458807 HRQ458779:HRR458807 IBM458779:IBN458807 ILI458779:ILJ458807 IVE458779:IVF458807 JFA458779:JFB458807 JOW458779:JOX458807 JYS458779:JYT458807 KIO458779:KIP458807 KSK458779:KSL458807 LCG458779:LCH458807 LMC458779:LMD458807 LVY458779:LVZ458807 MFU458779:MFV458807 MPQ458779:MPR458807 MZM458779:MZN458807 NJI458779:NJJ458807 NTE458779:NTF458807 ODA458779:ODB458807 OMW458779:OMX458807 OWS458779:OWT458807 PGO458779:PGP458807 PQK458779:PQL458807 QAG458779:QAH458807 QKC458779:QKD458807 QTY458779:QTZ458807 RDU458779:RDV458807 RNQ458779:RNR458807 RXM458779:RXN458807 SHI458779:SHJ458807 SRE458779:SRF458807 TBA458779:TBB458807 TKW458779:TKX458807 TUS458779:TUT458807 UEO458779:UEP458807 UOK458779:UOL458807 UYG458779:UYH458807 VIC458779:VID458807 VRY458779:VRZ458807 WBU458779:WBV458807 WLQ458779:WLR458807 WVM458779:WVN458807 JA524315:JB524343 SW524315:SX524343 ACS524315:ACT524343 AMO524315:AMP524343 AWK524315:AWL524343 BGG524315:BGH524343 BQC524315:BQD524343 BZY524315:BZZ524343 CJU524315:CJV524343 CTQ524315:CTR524343 DDM524315:DDN524343 DNI524315:DNJ524343 DXE524315:DXF524343 EHA524315:EHB524343 EQW524315:EQX524343 FAS524315:FAT524343 FKO524315:FKP524343 FUK524315:FUL524343 GEG524315:GEH524343 GOC524315:GOD524343 GXY524315:GXZ524343 HHU524315:HHV524343 HRQ524315:HRR524343 IBM524315:IBN524343 ILI524315:ILJ524343 IVE524315:IVF524343 JFA524315:JFB524343 JOW524315:JOX524343 JYS524315:JYT524343 KIO524315:KIP524343 KSK524315:KSL524343 LCG524315:LCH524343 LMC524315:LMD524343 LVY524315:LVZ524343 MFU524315:MFV524343 MPQ524315:MPR524343 MZM524315:MZN524343 NJI524315:NJJ524343 NTE524315:NTF524343 ODA524315:ODB524343 OMW524315:OMX524343 OWS524315:OWT524343 PGO524315:PGP524343 PQK524315:PQL524343 QAG524315:QAH524343 QKC524315:QKD524343 QTY524315:QTZ524343 RDU524315:RDV524343 RNQ524315:RNR524343 RXM524315:RXN524343 SHI524315:SHJ524343 SRE524315:SRF524343 TBA524315:TBB524343 TKW524315:TKX524343 TUS524315:TUT524343 UEO524315:UEP524343 UOK524315:UOL524343 UYG524315:UYH524343 VIC524315:VID524343 VRY524315:VRZ524343 WBU524315:WBV524343 WLQ524315:WLR524343 WVM524315:WVN524343 JA589851:JB589879 SW589851:SX589879 ACS589851:ACT589879 AMO589851:AMP589879 AWK589851:AWL589879 BGG589851:BGH589879 BQC589851:BQD589879 BZY589851:BZZ589879 CJU589851:CJV589879 CTQ589851:CTR589879 DDM589851:DDN589879 DNI589851:DNJ589879 DXE589851:DXF589879 EHA589851:EHB589879 EQW589851:EQX589879 FAS589851:FAT589879 FKO589851:FKP589879 FUK589851:FUL589879 GEG589851:GEH589879 GOC589851:GOD589879 GXY589851:GXZ589879 HHU589851:HHV589879 HRQ589851:HRR589879 IBM589851:IBN589879 ILI589851:ILJ589879 IVE589851:IVF589879 JFA589851:JFB589879 JOW589851:JOX589879 JYS589851:JYT589879 KIO589851:KIP589879 KSK589851:KSL589879 LCG589851:LCH589879 LMC589851:LMD589879 LVY589851:LVZ589879 MFU589851:MFV589879 MPQ589851:MPR589879 MZM589851:MZN589879 NJI589851:NJJ589879 NTE589851:NTF589879 ODA589851:ODB589879 OMW589851:OMX589879 OWS589851:OWT589879 PGO589851:PGP589879 PQK589851:PQL589879 QAG589851:QAH589879 QKC589851:QKD589879 QTY589851:QTZ589879 RDU589851:RDV589879 RNQ589851:RNR589879 RXM589851:RXN589879 SHI589851:SHJ589879 SRE589851:SRF589879 TBA589851:TBB589879 TKW589851:TKX589879 TUS589851:TUT589879 UEO589851:UEP589879 UOK589851:UOL589879 UYG589851:UYH589879 VIC589851:VID589879 VRY589851:VRZ589879 WBU589851:WBV589879 WLQ589851:WLR589879 WVM589851:WVN589879 JA655387:JB655415 SW655387:SX655415 ACS655387:ACT655415 AMO655387:AMP655415 AWK655387:AWL655415 BGG655387:BGH655415 BQC655387:BQD655415 BZY655387:BZZ655415 CJU655387:CJV655415 CTQ655387:CTR655415 DDM655387:DDN655415 DNI655387:DNJ655415 DXE655387:DXF655415 EHA655387:EHB655415 EQW655387:EQX655415 FAS655387:FAT655415 FKO655387:FKP655415 FUK655387:FUL655415 GEG655387:GEH655415 GOC655387:GOD655415 GXY655387:GXZ655415 HHU655387:HHV655415 HRQ655387:HRR655415 IBM655387:IBN655415 ILI655387:ILJ655415 IVE655387:IVF655415 JFA655387:JFB655415 JOW655387:JOX655415 JYS655387:JYT655415 KIO655387:KIP655415 KSK655387:KSL655415 LCG655387:LCH655415 LMC655387:LMD655415 LVY655387:LVZ655415 MFU655387:MFV655415 MPQ655387:MPR655415 MZM655387:MZN655415 NJI655387:NJJ655415 NTE655387:NTF655415 ODA655387:ODB655415 OMW655387:OMX655415 OWS655387:OWT655415 PGO655387:PGP655415 PQK655387:PQL655415 QAG655387:QAH655415 QKC655387:QKD655415 QTY655387:QTZ655415 RDU655387:RDV655415 RNQ655387:RNR655415 RXM655387:RXN655415 SHI655387:SHJ655415 SRE655387:SRF655415 TBA655387:TBB655415 TKW655387:TKX655415 TUS655387:TUT655415 UEO655387:UEP655415 UOK655387:UOL655415 UYG655387:UYH655415 VIC655387:VID655415 VRY655387:VRZ655415 WBU655387:WBV655415 WLQ655387:WLR655415 WVM655387:WVN655415 JA720923:JB720951 SW720923:SX720951 ACS720923:ACT720951 AMO720923:AMP720951 AWK720923:AWL720951 BGG720923:BGH720951 BQC720923:BQD720951 BZY720923:BZZ720951 CJU720923:CJV720951 CTQ720923:CTR720951 DDM720923:DDN720951 DNI720923:DNJ720951 DXE720923:DXF720951 EHA720923:EHB720951 EQW720923:EQX720951 FAS720923:FAT720951 FKO720923:FKP720951 FUK720923:FUL720951 GEG720923:GEH720951 GOC720923:GOD720951 GXY720923:GXZ720951 HHU720923:HHV720951 HRQ720923:HRR720951 IBM720923:IBN720951 ILI720923:ILJ720951 IVE720923:IVF720951 JFA720923:JFB720951 JOW720923:JOX720951 JYS720923:JYT720951 KIO720923:KIP720951 KSK720923:KSL720951 LCG720923:LCH720951 LMC720923:LMD720951 LVY720923:LVZ720951 MFU720923:MFV720951 MPQ720923:MPR720951 MZM720923:MZN720951 NJI720923:NJJ720951 NTE720923:NTF720951 ODA720923:ODB720951 OMW720923:OMX720951 OWS720923:OWT720951 PGO720923:PGP720951 PQK720923:PQL720951 QAG720923:QAH720951 QKC720923:QKD720951 QTY720923:QTZ720951 RDU720923:RDV720951 RNQ720923:RNR720951 RXM720923:RXN720951 SHI720923:SHJ720951 SRE720923:SRF720951 TBA720923:TBB720951 TKW720923:TKX720951 TUS720923:TUT720951 UEO720923:UEP720951 UOK720923:UOL720951 UYG720923:UYH720951 VIC720923:VID720951 VRY720923:VRZ720951 WBU720923:WBV720951 WLQ720923:WLR720951 WVM720923:WVN720951 JA786459:JB786487 SW786459:SX786487 ACS786459:ACT786487 AMO786459:AMP786487 AWK786459:AWL786487 BGG786459:BGH786487 BQC786459:BQD786487 BZY786459:BZZ786487 CJU786459:CJV786487 CTQ786459:CTR786487 DDM786459:DDN786487 DNI786459:DNJ786487 DXE786459:DXF786487 EHA786459:EHB786487 EQW786459:EQX786487 FAS786459:FAT786487 FKO786459:FKP786487 FUK786459:FUL786487 GEG786459:GEH786487 GOC786459:GOD786487 GXY786459:GXZ786487 HHU786459:HHV786487 HRQ786459:HRR786487 IBM786459:IBN786487 ILI786459:ILJ786487 IVE786459:IVF786487 JFA786459:JFB786487 JOW786459:JOX786487 JYS786459:JYT786487 KIO786459:KIP786487 KSK786459:KSL786487 LCG786459:LCH786487 LMC786459:LMD786487 LVY786459:LVZ786487 MFU786459:MFV786487 MPQ786459:MPR786487 MZM786459:MZN786487 NJI786459:NJJ786487 NTE786459:NTF786487 ODA786459:ODB786487 OMW786459:OMX786487 OWS786459:OWT786487 PGO786459:PGP786487 PQK786459:PQL786487 QAG786459:QAH786487 QKC786459:QKD786487 QTY786459:QTZ786487 RDU786459:RDV786487 RNQ786459:RNR786487 RXM786459:RXN786487 SHI786459:SHJ786487 SRE786459:SRF786487 TBA786459:TBB786487 TKW786459:TKX786487 TUS786459:TUT786487 UEO786459:UEP786487 UOK786459:UOL786487 UYG786459:UYH786487 VIC786459:VID786487 VRY786459:VRZ786487 WBU786459:WBV786487 WLQ786459:WLR786487 WVM786459:WVN786487 JA851995:JB852023 SW851995:SX852023 ACS851995:ACT852023 AMO851995:AMP852023 AWK851995:AWL852023 BGG851995:BGH852023 BQC851995:BQD852023 BZY851995:BZZ852023 CJU851995:CJV852023 CTQ851995:CTR852023 DDM851995:DDN852023 DNI851995:DNJ852023 DXE851995:DXF852023 EHA851995:EHB852023 EQW851995:EQX852023 FAS851995:FAT852023 FKO851995:FKP852023 FUK851995:FUL852023 GEG851995:GEH852023 GOC851995:GOD852023 GXY851995:GXZ852023 HHU851995:HHV852023 HRQ851995:HRR852023 IBM851995:IBN852023 ILI851995:ILJ852023 IVE851995:IVF852023 JFA851995:JFB852023 JOW851995:JOX852023 JYS851995:JYT852023 KIO851995:KIP852023 KSK851995:KSL852023 LCG851995:LCH852023 LMC851995:LMD852023 LVY851995:LVZ852023 MFU851995:MFV852023 MPQ851995:MPR852023 MZM851995:MZN852023 NJI851995:NJJ852023 NTE851995:NTF852023 ODA851995:ODB852023 OMW851995:OMX852023 OWS851995:OWT852023 PGO851995:PGP852023 PQK851995:PQL852023 QAG851995:QAH852023 QKC851995:QKD852023 QTY851995:QTZ852023 RDU851995:RDV852023 RNQ851995:RNR852023 RXM851995:RXN852023 SHI851995:SHJ852023 SRE851995:SRF852023 TBA851995:TBB852023 TKW851995:TKX852023 TUS851995:TUT852023 UEO851995:UEP852023 UOK851995:UOL852023 UYG851995:UYH852023 VIC851995:VID852023 VRY851995:VRZ852023 WBU851995:WBV852023 WLQ851995:WLR852023 WVM851995:WVN852023 JA917531:JB917559 SW917531:SX917559 ACS917531:ACT917559 AMO917531:AMP917559 AWK917531:AWL917559 BGG917531:BGH917559 BQC917531:BQD917559 BZY917531:BZZ917559 CJU917531:CJV917559 CTQ917531:CTR917559 DDM917531:DDN917559 DNI917531:DNJ917559 DXE917531:DXF917559 EHA917531:EHB917559 EQW917531:EQX917559 FAS917531:FAT917559 FKO917531:FKP917559 FUK917531:FUL917559 GEG917531:GEH917559 GOC917531:GOD917559 GXY917531:GXZ917559 HHU917531:HHV917559 HRQ917531:HRR917559 IBM917531:IBN917559 ILI917531:ILJ917559 IVE917531:IVF917559 JFA917531:JFB917559 JOW917531:JOX917559 JYS917531:JYT917559 KIO917531:KIP917559 KSK917531:KSL917559 LCG917531:LCH917559 LMC917531:LMD917559 LVY917531:LVZ917559 MFU917531:MFV917559 MPQ917531:MPR917559 MZM917531:MZN917559 NJI917531:NJJ917559 NTE917531:NTF917559 ODA917531:ODB917559 OMW917531:OMX917559 OWS917531:OWT917559 PGO917531:PGP917559 PQK917531:PQL917559 QAG917531:QAH917559 QKC917531:QKD917559 QTY917531:QTZ917559 RDU917531:RDV917559 RNQ917531:RNR917559 RXM917531:RXN917559 SHI917531:SHJ917559 SRE917531:SRF917559 TBA917531:TBB917559 TKW917531:TKX917559 TUS917531:TUT917559 UEO917531:UEP917559 UOK917531:UOL917559 UYG917531:UYH917559 VIC917531:VID917559 VRY917531:VRZ917559 WBU917531:WBV917559 WLQ917531:WLR917559 WVM917531:WVN917559 JA983067:JB983095 SW983067:SX983095 ACS983067:ACT983095 AMO983067:AMP983095 AWK983067:AWL983095 BGG983067:BGH983095 BQC983067:BQD983095 BZY983067:BZZ983095 CJU983067:CJV983095 CTQ983067:CTR983095 DDM983067:DDN983095 DNI983067:DNJ983095 DXE983067:DXF983095 EHA983067:EHB983095 EQW983067:EQX983095 FAS983067:FAT983095 FKO983067:FKP983095 FUK983067:FUL983095 GEG983067:GEH983095 GOC983067:GOD983095 GXY983067:GXZ983095 HHU983067:HHV983095 HRQ983067:HRR983095 IBM983067:IBN983095 ILI983067:ILJ983095 IVE983067:IVF983095 JFA983067:JFB983095 JOW983067:JOX983095 JYS983067:JYT983095 KIO983067:KIP983095 KSK983067:KSL983095 LCG983067:LCH983095 LMC983067:LMD983095 LVY983067:LVZ983095 MFU983067:MFV983095 MPQ983067:MPR983095 MZM983067:MZN983095 NJI983067:NJJ983095 NTE983067:NTF983095 ODA983067:ODB983095 OMW983067:OMX983095 OWS983067:OWT983095 PGO983067:PGP983095 PQK983067:PQL983095 QAG983067:QAH983095 QKC983067:QKD983095 QTY983067:QTZ983095 RDU983067:RDV983095 RNQ983067:RNR983095 RXM983067:RXN983095 SHI983067:SHJ983095 SRE983067:SRF983095 TBA983067:TBB983095 TKW983067:TKX983095 TUS983067:TUT983095 UEO983067:UEP983095 UOK983067:UOL983095 UYG983067:UYH983095 VIC983067:VID983095 VRY983067:VRZ983095 WBU983067:WBV983095 WLQ983067:WLR983095 WVM983067:WVN983095 F983067:F983095 F917531:F917559 F851995:F852023 F786459:F786487 F720923:F720951 F655387:F655415 F589851:F589879 F524315:F524343 F458779:F458807 F393243:F393271 F327707:F327735 F262171:F262199 F196635:F196663 F131099:F131127 F65563:F65591 WVM13:WVM27 WLQ13:WLQ27 WBU13:WBU27 VRY13:VRY27 VIC13:VIC27 UYG13:UYG27 UOK13:UOK27 UEO13:UEO27 TUS13:TUS27 TKW13:TKW27 TBA13:TBA27 SRE13:SRE27 SHI13:SHI27 RXM13:RXM27 RNQ13:RNQ27 RDU13:RDU27 QTY13:QTY27 QKC13:QKC27 QAG13:QAG27 PQK13:PQK27 PGO13:PGO27 OWS13:OWS27 OMW13:OMW27 ODA13:ODA27 NTE13:NTE27 NJI13:NJI27 MZM13:MZM27 MPQ13:MPQ27 MFU13:MFU27 LVY13:LVY27 LMC13:LMC27 LCG13:LCG27 KSK13:KSK27 KIO13:KIO27 JYS13:JYS27 JOW13:JOW27 JFA13:JFA27 IVE13:IVE27 ILI13:ILI27 IBM13:IBM27 HRQ13:HRQ27 HHU13:HHU27 GXY13:GXY27 GOC13:GOC27 GEG13:GEG27 FUK13:FUK27 FKO13:FKO27 FAS13:FAS27 EQW13:EQW27 EHA13:EHA27 DXE13:DXE27 DNI13:DNI27 DDM13:DDM27 CTQ13:CTQ27 CJU13:CJU27 BZY13:BZY27 BQC13:BQC27 BGG13:BGG27 AWK13:AWK27 AMO13:AMO27 ACS13:ACS27 SW13:SW27 JA13:JA27 F28:F55 WVM28:WVN55 WLQ28:WLR55 WBU28:WBV55 VRY28:VRZ55 VIC28:VID55 UYG28:UYH55 UOK28:UOL55 UEO28:UEP55 TUS28:TUT55 TKW28:TKX55 TBA28:TBB55 SRE28:SRF55 SHI28:SHJ55 RXM28:RXN55 RNQ28:RNR55 RDU28:RDV55 QTY28:QTZ55 QKC28:QKD55 QAG28:QAH55 PQK28:PQL55 PGO28:PGP55 OWS28:OWT55 OMW28:OMX55 ODA28:ODB55 NTE28:NTF55 NJI28:NJJ55 MZM28:MZN55 MPQ28:MPR55 MFU28:MFV55 LVY28:LVZ55 LMC28:LMD55 LCG28:LCH55 KSK28:KSL55 KIO28:KIP55 JYS28:JYT55 JOW28:JOX55 JFA28:JFB55 IVE28:IVF55 ILI28:ILJ55 IBM28:IBN55 HRQ28:HRR55 HHU28:HHV55 GXY28:GXZ55 GOC28:GOD55 GEG28:GEH55 FUK28:FUL55 FKO28:FKP55 FAS28:FAT55 EQW28:EQX55 EHA28:EHB55 DXE28:DXF55 DNI28:DNJ55 DDM28:DDN55 CTQ28:CTR55 CJU28:CJV55 BZY28:BZZ55 BQC28:BQD55 BGG28:BGH55 AWK28:AWL55 AMO28:AMP55 ACS28:ACT55 SW28:SX55 JA28:JB55">
      <formula1>#REF!</formula1>
    </dataValidation>
  </dataValidations>
  <printOptions horizontalCentered="1"/>
  <pageMargins left="0.77559055099999996" right="0.35433070866141703" top="0.55118110236220497" bottom="0.55118110236220497" header="0.27559055118110198" footer="0.23622047244094499"/>
  <pageSetup scale="83" orientation="portrait" r:id="rId1"/>
  <headerFooter alignWithMargins="0">
    <oddHeader>&amp;L&amp;9        CO-SVCH-PRSE-D005&amp;R&amp;9Marzo 2011</oddHeader>
    <oddFooter>&amp;C&amp;9&amp;P / &amp;N</oddFooter>
  </headerFooter>
  <colBreaks count="1" manualBreakCount="1">
    <brk id="5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allowBlank="1" showErrorMessage="1">
          <xm:sqref>JB65547:SQ65559 SX65547:ACM65559 ACT65547:AMI65559 AMP65547:AWE65559 AWL65547:BGA65559 BGH65547:BPW65559 BQD65547:BZS65559 BZZ65547:CJO65559 CJV65547:CTK65559 CTR65547:DDG65559 DDN65547:DNC65559 DNJ65547:DWY65559 DXF65547:EGU65559 EHB65547:EQQ65559 EQX65547:FAM65559 FAT65547:FKI65559 FKP65547:FUE65559 FUL65547:GEA65559 GEH65547:GNW65559 GOD65547:GXS65559 GXZ65547:HHO65559 HHV65547:HRK65559 HRR65547:IBG65559 IBN65547:ILC65559 ILJ65547:IUY65559 IVF65547:JEU65559 JFB65547:JOQ65559 JOX65547:JYM65559 JYT65547:KII65559 KIP65547:KSE65559 KSL65547:LCA65559 LCH65547:LLW65559 LMD65547:LVS65559 LVZ65547:MFO65559 MFV65547:MPK65559 MPR65547:MZG65559 MZN65547:NJC65559 NJJ65547:NSY65559 NTF65547:OCU65559 ODB65547:OMQ65559 OMX65547:OWM65559 OWT65547:PGI65559 PGP65547:PQE65559 PQL65547:QAA65559 QAH65547:QJW65559 QKD65547:QTS65559 QTZ65547:RDO65559 RDV65547:RNK65559 RNR65547:RXG65559 RXN65547:SHC65559 SHJ65547:SQY65559 SRF65547:TAU65559 TBB65547:TKQ65559 TKX65547:TUM65559 TUT65547:UEI65559 UEP65547:UOE65559 UOL65547:UYA65559 UYH65547:VHW65559 VID65547:VRS65559 VRZ65547:WBO65559 WBV65547:WLK65559 WLR65547:WVG65559 WVN65547:XFD65559 JB131083:SQ131095 SX131083:ACM131095 ACT131083:AMI131095 AMP131083:AWE131095 AWL131083:BGA131095 BGH131083:BPW131095 BQD131083:BZS131095 BZZ131083:CJO131095 CJV131083:CTK131095 CTR131083:DDG131095 DDN131083:DNC131095 DNJ131083:DWY131095 DXF131083:EGU131095 EHB131083:EQQ131095 EQX131083:FAM131095 FAT131083:FKI131095 FKP131083:FUE131095 FUL131083:GEA131095 GEH131083:GNW131095 GOD131083:GXS131095 GXZ131083:HHO131095 HHV131083:HRK131095 HRR131083:IBG131095 IBN131083:ILC131095 ILJ131083:IUY131095 IVF131083:JEU131095 JFB131083:JOQ131095 JOX131083:JYM131095 JYT131083:KII131095 KIP131083:KSE131095 KSL131083:LCA131095 LCH131083:LLW131095 LMD131083:LVS131095 LVZ131083:MFO131095 MFV131083:MPK131095 MPR131083:MZG131095 MZN131083:NJC131095 NJJ131083:NSY131095 NTF131083:OCU131095 ODB131083:OMQ131095 OMX131083:OWM131095 OWT131083:PGI131095 PGP131083:PQE131095 PQL131083:QAA131095 QAH131083:QJW131095 QKD131083:QTS131095 QTZ131083:RDO131095 RDV131083:RNK131095 RNR131083:RXG131095 RXN131083:SHC131095 SHJ131083:SQY131095 SRF131083:TAU131095 TBB131083:TKQ131095 TKX131083:TUM131095 TUT131083:UEI131095 UEP131083:UOE131095 UOL131083:UYA131095 UYH131083:VHW131095 VID131083:VRS131095 VRZ131083:WBO131095 WBV131083:WLK131095 WLR131083:WVG131095 WVN131083:XFD131095 JB196619:SQ196631 SX196619:ACM196631 ACT196619:AMI196631 AMP196619:AWE196631 AWL196619:BGA196631 BGH196619:BPW196631 BQD196619:BZS196631 BZZ196619:CJO196631 CJV196619:CTK196631 CTR196619:DDG196631 DDN196619:DNC196631 DNJ196619:DWY196631 DXF196619:EGU196631 EHB196619:EQQ196631 EQX196619:FAM196631 FAT196619:FKI196631 FKP196619:FUE196631 FUL196619:GEA196631 GEH196619:GNW196631 GOD196619:GXS196631 GXZ196619:HHO196631 HHV196619:HRK196631 HRR196619:IBG196631 IBN196619:ILC196631 ILJ196619:IUY196631 IVF196619:JEU196631 JFB196619:JOQ196631 JOX196619:JYM196631 JYT196619:KII196631 KIP196619:KSE196631 KSL196619:LCA196631 LCH196619:LLW196631 LMD196619:LVS196631 LVZ196619:MFO196631 MFV196619:MPK196631 MPR196619:MZG196631 MZN196619:NJC196631 NJJ196619:NSY196631 NTF196619:OCU196631 ODB196619:OMQ196631 OMX196619:OWM196631 OWT196619:PGI196631 PGP196619:PQE196631 PQL196619:QAA196631 QAH196619:QJW196631 QKD196619:QTS196631 QTZ196619:RDO196631 RDV196619:RNK196631 RNR196619:RXG196631 RXN196619:SHC196631 SHJ196619:SQY196631 SRF196619:TAU196631 TBB196619:TKQ196631 TKX196619:TUM196631 TUT196619:UEI196631 UEP196619:UOE196631 UOL196619:UYA196631 UYH196619:VHW196631 VID196619:VRS196631 VRZ196619:WBO196631 WBV196619:WLK196631 WLR196619:WVG196631 WVN196619:XFD196631 JB262155:SQ262167 SX262155:ACM262167 ACT262155:AMI262167 AMP262155:AWE262167 AWL262155:BGA262167 BGH262155:BPW262167 BQD262155:BZS262167 BZZ262155:CJO262167 CJV262155:CTK262167 CTR262155:DDG262167 DDN262155:DNC262167 DNJ262155:DWY262167 DXF262155:EGU262167 EHB262155:EQQ262167 EQX262155:FAM262167 FAT262155:FKI262167 FKP262155:FUE262167 FUL262155:GEA262167 GEH262155:GNW262167 GOD262155:GXS262167 GXZ262155:HHO262167 HHV262155:HRK262167 HRR262155:IBG262167 IBN262155:ILC262167 ILJ262155:IUY262167 IVF262155:JEU262167 JFB262155:JOQ262167 JOX262155:JYM262167 JYT262155:KII262167 KIP262155:KSE262167 KSL262155:LCA262167 LCH262155:LLW262167 LMD262155:LVS262167 LVZ262155:MFO262167 MFV262155:MPK262167 MPR262155:MZG262167 MZN262155:NJC262167 NJJ262155:NSY262167 NTF262155:OCU262167 ODB262155:OMQ262167 OMX262155:OWM262167 OWT262155:PGI262167 PGP262155:PQE262167 PQL262155:QAA262167 QAH262155:QJW262167 QKD262155:QTS262167 QTZ262155:RDO262167 RDV262155:RNK262167 RNR262155:RXG262167 RXN262155:SHC262167 SHJ262155:SQY262167 SRF262155:TAU262167 TBB262155:TKQ262167 TKX262155:TUM262167 TUT262155:UEI262167 UEP262155:UOE262167 UOL262155:UYA262167 UYH262155:VHW262167 VID262155:VRS262167 VRZ262155:WBO262167 WBV262155:WLK262167 WLR262155:WVG262167 WVN262155:XFD262167 JB327691:SQ327703 SX327691:ACM327703 ACT327691:AMI327703 AMP327691:AWE327703 AWL327691:BGA327703 BGH327691:BPW327703 BQD327691:BZS327703 BZZ327691:CJO327703 CJV327691:CTK327703 CTR327691:DDG327703 DDN327691:DNC327703 DNJ327691:DWY327703 DXF327691:EGU327703 EHB327691:EQQ327703 EQX327691:FAM327703 FAT327691:FKI327703 FKP327691:FUE327703 FUL327691:GEA327703 GEH327691:GNW327703 GOD327691:GXS327703 GXZ327691:HHO327703 HHV327691:HRK327703 HRR327691:IBG327703 IBN327691:ILC327703 ILJ327691:IUY327703 IVF327691:JEU327703 JFB327691:JOQ327703 JOX327691:JYM327703 JYT327691:KII327703 KIP327691:KSE327703 KSL327691:LCA327703 LCH327691:LLW327703 LMD327691:LVS327703 LVZ327691:MFO327703 MFV327691:MPK327703 MPR327691:MZG327703 MZN327691:NJC327703 NJJ327691:NSY327703 NTF327691:OCU327703 ODB327691:OMQ327703 OMX327691:OWM327703 OWT327691:PGI327703 PGP327691:PQE327703 PQL327691:QAA327703 QAH327691:QJW327703 QKD327691:QTS327703 QTZ327691:RDO327703 RDV327691:RNK327703 RNR327691:RXG327703 RXN327691:SHC327703 SHJ327691:SQY327703 SRF327691:TAU327703 TBB327691:TKQ327703 TKX327691:TUM327703 TUT327691:UEI327703 UEP327691:UOE327703 UOL327691:UYA327703 UYH327691:VHW327703 VID327691:VRS327703 VRZ327691:WBO327703 WBV327691:WLK327703 WLR327691:WVG327703 WVN327691:XFD327703 JB393227:SQ393239 SX393227:ACM393239 ACT393227:AMI393239 AMP393227:AWE393239 AWL393227:BGA393239 BGH393227:BPW393239 BQD393227:BZS393239 BZZ393227:CJO393239 CJV393227:CTK393239 CTR393227:DDG393239 DDN393227:DNC393239 DNJ393227:DWY393239 DXF393227:EGU393239 EHB393227:EQQ393239 EQX393227:FAM393239 FAT393227:FKI393239 FKP393227:FUE393239 FUL393227:GEA393239 GEH393227:GNW393239 GOD393227:GXS393239 GXZ393227:HHO393239 HHV393227:HRK393239 HRR393227:IBG393239 IBN393227:ILC393239 ILJ393227:IUY393239 IVF393227:JEU393239 JFB393227:JOQ393239 JOX393227:JYM393239 JYT393227:KII393239 KIP393227:KSE393239 KSL393227:LCA393239 LCH393227:LLW393239 LMD393227:LVS393239 LVZ393227:MFO393239 MFV393227:MPK393239 MPR393227:MZG393239 MZN393227:NJC393239 NJJ393227:NSY393239 NTF393227:OCU393239 ODB393227:OMQ393239 OMX393227:OWM393239 OWT393227:PGI393239 PGP393227:PQE393239 PQL393227:QAA393239 QAH393227:QJW393239 QKD393227:QTS393239 QTZ393227:RDO393239 RDV393227:RNK393239 RNR393227:RXG393239 RXN393227:SHC393239 SHJ393227:SQY393239 SRF393227:TAU393239 TBB393227:TKQ393239 TKX393227:TUM393239 TUT393227:UEI393239 UEP393227:UOE393239 UOL393227:UYA393239 UYH393227:VHW393239 VID393227:VRS393239 VRZ393227:WBO393239 WBV393227:WLK393239 WLR393227:WVG393239 WVN393227:XFD393239 JB458763:SQ458775 SX458763:ACM458775 ACT458763:AMI458775 AMP458763:AWE458775 AWL458763:BGA458775 BGH458763:BPW458775 BQD458763:BZS458775 BZZ458763:CJO458775 CJV458763:CTK458775 CTR458763:DDG458775 DDN458763:DNC458775 DNJ458763:DWY458775 DXF458763:EGU458775 EHB458763:EQQ458775 EQX458763:FAM458775 FAT458763:FKI458775 FKP458763:FUE458775 FUL458763:GEA458775 GEH458763:GNW458775 GOD458763:GXS458775 GXZ458763:HHO458775 HHV458763:HRK458775 HRR458763:IBG458775 IBN458763:ILC458775 ILJ458763:IUY458775 IVF458763:JEU458775 JFB458763:JOQ458775 JOX458763:JYM458775 JYT458763:KII458775 KIP458763:KSE458775 KSL458763:LCA458775 LCH458763:LLW458775 LMD458763:LVS458775 LVZ458763:MFO458775 MFV458763:MPK458775 MPR458763:MZG458775 MZN458763:NJC458775 NJJ458763:NSY458775 NTF458763:OCU458775 ODB458763:OMQ458775 OMX458763:OWM458775 OWT458763:PGI458775 PGP458763:PQE458775 PQL458763:QAA458775 QAH458763:QJW458775 QKD458763:QTS458775 QTZ458763:RDO458775 RDV458763:RNK458775 RNR458763:RXG458775 RXN458763:SHC458775 SHJ458763:SQY458775 SRF458763:TAU458775 TBB458763:TKQ458775 TKX458763:TUM458775 TUT458763:UEI458775 UEP458763:UOE458775 UOL458763:UYA458775 UYH458763:VHW458775 VID458763:VRS458775 VRZ458763:WBO458775 WBV458763:WLK458775 WLR458763:WVG458775 WVN458763:XFD458775 JB524299:SQ524311 SX524299:ACM524311 ACT524299:AMI524311 AMP524299:AWE524311 AWL524299:BGA524311 BGH524299:BPW524311 BQD524299:BZS524311 BZZ524299:CJO524311 CJV524299:CTK524311 CTR524299:DDG524311 DDN524299:DNC524311 DNJ524299:DWY524311 DXF524299:EGU524311 EHB524299:EQQ524311 EQX524299:FAM524311 FAT524299:FKI524311 FKP524299:FUE524311 FUL524299:GEA524311 GEH524299:GNW524311 GOD524299:GXS524311 GXZ524299:HHO524311 HHV524299:HRK524311 HRR524299:IBG524311 IBN524299:ILC524311 ILJ524299:IUY524311 IVF524299:JEU524311 JFB524299:JOQ524311 JOX524299:JYM524311 JYT524299:KII524311 KIP524299:KSE524311 KSL524299:LCA524311 LCH524299:LLW524311 LMD524299:LVS524311 LVZ524299:MFO524311 MFV524299:MPK524311 MPR524299:MZG524311 MZN524299:NJC524311 NJJ524299:NSY524311 NTF524299:OCU524311 ODB524299:OMQ524311 OMX524299:OWM524311 OWT524299:PGI524311 PGP524299:PQE524311 PQL524299:QAA524311 QAH524299:QJW524311 QKD524299:QTS524311 QTZ524299:RDO524311 RDV524299:RNK524311 RNR524299:RXG524311 RXN524299:SHC524311 SHJ524299:SQY524311 SRF524299:TAU524311 TBB524299:TKQ524311 TKX524299:TUM524311 TUT524299:UEI524311 UEP524299:UOE524311 UOL524299:UYA524311 UYH524299:VHW524311 VID524299:VRS524311 VRZ524299:WBO524311 WBV524299:WLK524311 WLR524299:WVG524311 WVN524299:XFD524311 JB589835:SQ589847 SX589835:ACM589847 ACT589835:AMI589847 AMP589835:AWE589847 AWL589835:BGA589847 BGH589835:BPW589847 BQD589835:BZS589847 BZZ589835:CJO589847 CJV589835:CTK589847 CTR589835:DDG589847 DDN589835:DNC589847 DNJ589835:DWY589847 DXF589835:EGU589847 EHB589835:EQQ589847 EQX589835:FAM589847 FAT589835:FKI589847 FKP589835:FUE589847 FUL589835:GEA589847 GEH589835:GNW589847 GOD589835:GXS589847 GXZ589835:HHO589847 HHV589835:HRK589847 HRR589835:IBG589847 IBN589835:ILC589847 ILJ589835:IUY589847 IVF589835:JEU589847 JFB589835:JOQ589847 JOX589835:JYM589847 JYT589835:KII589847 KIP589835:KSE589847 KSL589835:LCA589847 LCH589835:LLW589847 LMD589835:LVS589847 LVZ589835:MFO589847 MFV589835:MPK589847 MPR589835:MZG589847 MZN589835:NJC589847 NJJ589835:NSY589847 NTF589835:OCU589847 ODB589835:OMQ589847 OMX589835:OWM589847 OWT589835:PGI589847 PGP589835:PQE589847 PQL589835:QAA589847 QAH589835:QJW589847 QKD589835:QTS589847 QTZ589835:RDO589847 RDV589835:RNK589847 RNR589835:RXG589847 RXN589835:SHC589847 SHJ589835:SQY589847 SRF589835:TAU589847 TBB589835:TKQ589847 TKX589835:TUM589847 TUT589835:UEI589847 UEP589835:UOE589847 UOL589835:UYA589847 UYH589835:VHW589847 VID589835:VRS589847 VRZ589835:WBO589847 WBV589835:WLK589847 WLR589835:WVG589847 WVN589835:XFD589847 JB655371:SQ655383 SX655371:ACM655383 ACT655371:AMI655383 AMP655371:AWE655383 AWL655371:BGA655383 BGH655371:BPW655383 BQD655371:BZS655383 BZZ655371:CJO655383 CJV655371:CTK655383 CTR655371:DDG655383 DDN655371:DNC655383 DNJ655371:DWY655383 DXF655371:EGU655383 EHB655371:EQQ655383 EQX655371:FAM655383 FAT655371:FKI655383 FKP655371:FUE655383 FUL655371:GEA655383 GEH655371:GNW655383 GOD655371:GXS655383 GXZ655371:HHO655383 HHV655371:HRK655383 HRR655371:IBG655383 IBN655371:ILC655383 ILJ655371:IUY655383 IVF655371:JEU655383 JFB655371:JOQ655383 JOX655371:JYM655383 JYT655371:KII655383 KIP655371:KSE655383 KSL655371:LCA655383 LCH655371:LLW655383 LMD655371:LVS655383 LVZ655371:MFO655383 MFV655371:MPK655383 MPR655371:MZG655383 MZN655371:NJC655383 NJJ655371:NSY655383 NTF655371:OCU655383 ODB655371:OMQ655383 OMX655371:OWM655383 OWT655371:PGI655383 PGP655371:PQE655383 PQL655371:QAA655383 QAH655371:QJW655383 QKD655371:QTS655383 QTZ655371:RDO655383 RDV655371:RNK655383 RNR655371:RXG655383 RXN655371:SHC655383 SHJ655371:SQY655383 SRF655371:TAU655383 TBB655371:TKQ655383 TKX655371:TUM655383 TUT655371:UEI655383 UEP655371:UOE655383 UOL655371:UYA655383 UYH655371:VHW655383 VID655371:VRS655383 VRZ655371:WBO655383 WBV655371:WLK655383 WLR655371:WVG655383 WVN655371:XFD655383 JB720907:SQ720919 SX720907:ACM720919 ACT720907:AMI720919 AMP720907:AWE720919 AWL720907:BGA720919 BGH720907:BPW720919 BQD720907:BZS720919 BZZ720907:CJO720919 CJV720907:CTK720919 CTR720907:DDG720919 DDN720907:DNC720919 DNJ720907:DWY720919 DXF720907:EGU720919 EHB720907:EQQ720919 EQX720907:FAM720919 FAT720907:FKI720919 FKP720907:FUE720919 FUL720907:GEA720919 GEH720907:GNW720919 GOD720907:GXS720919 GXZ720907:HHO720919 HHV720907:HRK720919 HRR720907:IBG720919 IBN720907:ILC720919 ILJ720907:IUY720919 IVF720907:JEU720919 JFB720907:JOQ720919 JOX720907:JYM720919 JYT720907:KII720919 KIP720907:KSE720919 KSL720907:LCA720919 LCH720907:LLW720919 LMD720907:LVS720919 LVZ720907:MFO720919 MFV720907:MPK720919 MPR720907:MZG720919 MZN720907:NJC720919 NJJ720907:NSY720919 NTF720907:OCU720919 ODB720907:OMQ720919 OMX720907:OWM720919 OWT720907:PGI720919 PGP720907:PQE720919 PQL720907:QAA720919 QAH720907:QJW720919 QKD720907:QTS720919 QTZ720907:RDO720919 RDV720907:RNK720919 RNR720907:RXG720919 RXN720907:SHC720919 SHJ720907:SQY720919 SRF720907:TAU720919 TBB720907:TKQ720919 TKX720907:TUM720919 TUT720907:UEI720919 UEP720907:UOE720919 UOL720907:UYA720919 UYH720907:VHW720919 VID720907:VRS720919 VRZ720907:WBO720919 WBV720907:WLK720919 WLR720907:WVG720919 WVN720907:XFD720919 JB786443:SQ786455 SX786443:ACM786455 ACT786443:AMI786455 AMP786443:AWE786455 AWL786443:BGA786455 BGH786443:BPW786455 BQD786443:BZS786455 BZZ786443:CJO786455 CJV786443:CTK786455 CTR786443:DDG786455 DDN786443:DNC786455 DNJ786443:DWY786455 DXF786443:EGU786455 EHB786443:EQQ786455 EQX786443:FAM786455 FAT786443:FKI786455 FKP786443:FUE786455 FUL786443:GEA786455 GEH786443:GNW786455 GOD786443:GXS786455 GXZ786443:HHO786455 HHV786443:HRK786455 HRR786443:IBG786455 IBN786443:ILC786455 ILJ786443:IUY786455 IVF786443:JEU786455 JFB786443:JOQ786455 JOX786443:JYM786455 JYT786443:KII786455 KIP786443:KSE786455 KSL786443:LCA786455 LCH786443:LLW786455 LMD786443:LVS786455 LVZ786443:MFO786455 MFV786443:MPK786455 MPR786443:MZG786455 MZN786443:NJC786455 NJJ786443:NSY786455 NTF786443:OCU786455 ODB786443:OMQ786455 OMX786443:OWM786455 OWT786443:PGI786455 PGP786443:PQE786455 PQL786443:QAA786455 QAH786443:QJW786455 QKD786443:QTS786455 QTZ786443:RDO786455 RDV786443:RNK786455 RNR786443:RXG786455 RXN786443:SHC786455 SHJ786443:SQY786455 SRF786443:TAU786455 TBB786443:TKQ786455 TKX786443:TUM786455 TUT786443:UEI786455 UEP786443:UOE786455 UOL786443:UYA786455 UYH786443:VHW786455 VID786443:VRS786455 VRZ786443:WBO786455 WBV786443:WLK786455 WLR786443:WVG786455 WVN786443:XFD786455 JB851979:SQ851991 SX851979:ACM851991 ACT851979:AMI851991 AMP851979:AWE851991 AWL851979:BGA851991 BGH851979:BPW851991 BQD851979:BZS851991 BZZ851979:CJO851991 CJV851979:CTK851991 CTR851979:DDG851991 DDN851979:DNC851991 DNJ851979:DWY851991 DXF851979:EGU851991 EHB851979:EQQ851991 EQX851979:FAM851991 FAT851979:FKI851991 FKP851979:FUE851991 FUL851979:GEA851991 GEH851979:GNW851991 GOD851979:GXS851991 GXZ851979:HHO851991 HHV851979:HRK851991 HRR851979:IBG851991 IBN851979:ILC851991 ILJ851979:IUY851991 IVF851979:JEU851991 JFB851979:JOQ851991 JOX851979:JYM851991 JYT851979:KII851991 KIP851979:KSE851991 KSL851979:LCA851991 LCH851979:LLW851991 LMD851979:LVS851991 LVZ851979:MFO851991 MFV851979:MPK851991 MPR851979:MZG851991 MZN851979:NJC851991 NJJ851979:NSY851991 NTF851979:OCU851991 ODB851979:OMQ851991 OMX851979:OWM851991 OWT851979:PGI851991 PGP851979:PQE851991 PQL851979:QAA851991 QAH851979:QJW851991 QKD851979:QTS851991 QTZ851979:RDO851991 RDV851979:RNK851991 RNR851979:RXG851991 RXN851979:SHC851991 SHJ851979:SQY851991 SRF851979:TAU851991 TBB851979:TKQ851991 TKX851979:TUM851991 TUT851979:UEI851991 UEP851979:UOE851991 UOL851979:UYA851991 UYH851979:VHW851991 VID851979:VRS851991 VRZ851979:WBO851991 WBV851979:WLK851991 WLR851979:WVG851991 WVN851979:XFD851991 JB917515:SQ917527 SX917515:ACM917527 ACT917515:AMI917527 AMP917515:AWE917527 AWL917515:BGA917527 BGH917515:BPW917527 BQD917515:BZS917527 BZZ917515:CJO917527 CJV917515:CTK917527 CTR917515:DDG917527 DDN917515:DNC917527 DNJ917515:DWY917527 DXF917515:EGU917527 EHB917515:EQQ917527 EQX917515:FAM917527 FAT917515:FKI917527 FKP917515:FUE917527 FUL917515:GEA917527 GEH917515:GNW917527 GOD917515:GXS917527 GXZ917515:HHO917527 HHV917515:HRK917527 HRR917515:IBG917527 IBN917515:ILC917527 ILJ917515:IUY917527 IVF917515:JEU917527 JFB917515:JOQ917527 JOX917515:JYM917527 JYT917515:KII917527 KIP917515:KSE917527 KSL917515:LCA917527 LCH917515:LLW917527 LMD917515:LVS917527 LVZ917515:MFO917527 MFV917515:MPK917527 MPR917515:MZG917527 MZN917515:NJC917527 NJJ917515:NSY917527 NTF917515:OCU917527 ODB917515:OMQ917527 OMX917515:OWM917527 OWT917515:PGI917527 PGP917515:PQE917527 PQL917515:QAA917527 QAH917515:QJW917527 QKD917515:QTS917527 QTZ917515:RDO917527 RDV917515:RNK917527 RNR917515:RXG917527 RXN917515:SHC917527 SHJ917515:SQY917527 SRF917515:TAU917527 TBB917515:TKQ917527 TKX917515:TUM917527 TUT917515:UEI917527 UEP917515:UOE917527 UOL917515:UYA917527 UYH917515:VHW917527 VID917515:VRS917527 VRZ917515:WBO917527 WBV917515:WLK917527 WLR917515:WVG917527 WVN917515:XFD917527 JB983051:SQ983063 SX983051:ACM983063 ACT983051:AMI983063 AMP983051:AWE983063 AWL983051:BGA983063 BGH983051:BPW983063 BQD983051:BZS983063 BZZ983051:CJO983063 CJV983051:CTK983063 CTR983051:DDG983063 DDN983051:DNC983063 DNJ983051:DWY983063 DXF983051:EGU983063 EHB983051:EQQ983063 EQX983051:FAM983063 FAT983051:FKI983063 FKP983051:FUE983063 FUL983051:GEA983063 GEH983051:GNW983063 GOD983051:GXS983063 GXZ983051:HHO983063 HHV983051:HRK983063 HRR983051:IBG983063 IBN983051:ILC983063 ILJ983051:IUY983063 IVF983051:JEU983063 JFB983051:JOQ983063 JOX983051:JYM983063 JYT983051:KII983063 KIP983051:KSE983063 KSL983051:LCA983063 LCH983051:LLW983063 LMD983051:LVS983063 LVZ983051:MFO983063 MFV983051:MPK983063 MPR983051:MZG983063 MZN983051:NJC983063 NJJ983051:NSY983063 NTF983051:OCU983063 ODB983051:OMQ983063 OMX983051:OWM983063 OWT983051:PGI983063 PGP983051:PQE983063 PQL983051:QAA983063 QAH983051:QJW983063 QKD983051:QTS983063 QTZ983051:RDO983063 RDV983051:RNK983063 RNR983051:RXG983063 RXN983051:SHC983063 SHJ983051:SQY983063 SRF983051:TAU983063 TBB983051:TKQ983063 TKX983051:TUM983063 TUT983051:UEI983063 UEP983051:UOE983063 UOL983051:UYA983063 UYH983051:VHW983063 VID983051:VRS983063 VRZ983051:WBO983063 WBV983051:WLK983063 WLR983051:WVG983063 WVN983051:XFD983063 F25:F26 JB25:JB26 SX25:SX26 ACT25:ACT26 AMP25:AMP26 AWL25:AWL26 BGH25:BGH26 BQD25:BQD26 BZZ25:BZZ26 CJV25:CJV26 CTR25:CTR26 DDN25:DDN26 DNJ25:DNJ26 DXF25:DXF26 EHB25:EHB26 EQX25:EQX26 FAT25:FAT26 FKP25:FKP26 FUL25:FUL26 GEH25:GEH26 GOD25:GOD26 GXZ25:GXZ26 HHV25:HHV26 HRR25:HRR26 IBN25:IBN26 ILJ25:ILJ26 IVF25:IVF26 JFB25:JFB26 JOX25:JOX26 JYT25:JYT26 KIP25:KIP26 KSL25:KSL26 LCH25:LCH26 LMD25:LMD26 LVZ25:LVZ26 MFV25:MFV26 MPR25:MPR26 MZN25:MZN26 NJJ25:NJJ26 NTF25:NTF26 ODB25:ODB26 OMX25:OMX26 OWT25:OWT26 PGP25:PGP26 PQL25:PQL26 QAH25:QAH26 QKD25:QKD26 QTZ25:QTZ26 RDV25:RDV26 RNR25:RNR26 RXN25:RXN26 SHJ25:SHJ26 SRF25:SRF26 TBB25:TBB26 TKX25:TKX26 TUT25:TUT26 UEP25:UEP26 UOL25:UOL26 UYH25:UYH26 VID25:VID26 VRZ25:VRZ26 WBV25:WBV26 WLR25:WLR26 WVN25:WVN26 F65560:F65561 JB65560:JB65561 SX65560:SX65561 ACT65560:ACT65561 AMP65560:AMP65561 AWL65560:AWL65561 BGH65560:BGH65561 BQD65560:BQD65561 BZZ65560:BZZ65561 CJV65560:CJV65561 CTR65560:CTR65561 DDN65560:DDN65561 DNJ65560:DNJ65561 DXF65560:DXF65561 EHB65560:EHB65561 EQX65560:EQX65561 FAT65560:FAT65561 FKP65560:FKP65561 FUL65560:FUL65561 GEH65560:GEH65561 GOD65560:GOD65561 GXZ65560:GXZ65561 HHV65560:HHV65561 HRR65560:HRR65561 IBN65560:IBN65561 ILJ65560:ILJ65561 IVF65560:IVF65561 JFB65560:JFB65561 JOX65560:JOX65561 JYT65560:JYT65561 KIP65560:KIP65561 KSL65560:KSL65561 LCH65560:LCH65561 LMD65560:LMD65561 LVZ65560:LVZ65561 MFV65560:MFV65561 MPR65560:MPR65561 MZN65560:MZN65561 NJJ65560:NJJ65561 NTF65560:NTF65561 ODB65560:ODB65561 OMX65560:OMX65561 OWT65560:OWT65561 PGP65560:PGP65561 PQL65560:PQL65561 QAH65560:QAH65561 QKD65560:QKD65561 QTZ65560:QTZ65561 RDV65560:RDV65561 RNR65560:RNR65561 RXN65560:RXN65561 SHJ65560:SHJ65561 SRF65560:SRF65561 TBB65560:TBB65561 TKX65560:TKX65561 TUT65560:TUT65561 UEP65560:UEP65561 UOL65560:UOL65561 UYH65560:UYH65561 VID65560:VID65561 VRZ65560:VRZ65561 WBV65560:WBV65561 WLR65560:WLR65561 WVN65560:WVN65561 F131096:F131097 JB131096:JB131097 SX131096:SX131097 ACT131096:ACT131097 AMP131096:AMP131097 AWL131096:AWL131097 BGH131096:BGH131097 BQD131096:BQD131097 BZZ131096:BZZ131097 CJV131096:CJV131097 CTR131096:CTR131097 DDN131096:DDN131097 DNJ131096:DNJ131097 DXF131096:DXF131097 EHB131096:EHB131097 EQX131096:EQX131097 FAT131096:FAT131097 FKP131096:FKP131097 FUL131096:FUL131097 GEH131096:GEH131097 GOD131096:GOD131097 GXZ131096:GXZ131097 HHV131096:HHV131097 HRR131096:HRR131097 IBN131096:IBN131097 ILJ131096:ILJ131097 IVF131096:IVF131097 JFB131096:JFB131097 JOX131096:JOX131097 JYT131096:JYT131097 KIP131096:KIP131097 KSL131096:KSL131097 LCH131096:LCH131097 LMD131096:LMD131097 LVZ131096:LVZ131097 MFV131096:MFV131097 MPR131096:MPR131097 MZN131096:MZN131097 NJJ131096:NJJ131097 NTF131096:NTF131097 ODB131096:ODB131097 OMX131096:OMX131097 OWT131096:OWT131097 PGP131096:PGP131097 PQL131096:PQL131097 QAH131096:QAH131097 QKD131096:QKD131097 QTZ131096:QTZ131097 RDV131096:RDV131097 RNR131096:RNR131097 RXN131096:RXN131097 SHJ131096:SHJ131097 SRF131096:SRF131097 TBB131096:TBB131097 TKX131096:TKX131097 TUT131096:TUT131097 UEP131096:UEP131097 UOL131096:UOL131097 UYH131096:UYH131097 VID131096:VID131097 VRZ131096:VRZ131097 WBV131096:WBV131097 WLR131096:WLR131097 WVN131096:WVN131097 F196632:F196633 JB196632:JB196633 SX196632:SX196633 ACT196632:ACT196633 AMP196632:AMP196633 AWL196632:AWL196633 BGH196632:BGH196633 BQD196632:BQD196633 BZZ196632:BZZ196633 CJV196632:CJV196633 CTR196632:CTR196633 DDN196632:DDN196633 DNJ196632:DNJ196633 DXF196632:DXF196633 EHB196632:EHB196633 EQX196632:EQX196633 FAT196632:FAT196633 FKP196632:FKP196633 FUL196632:FUL196633 GEH196632:GEH196633 GOD196632:GOD196633 GXZ196632:GXZ196633 HHV196632:HHV196633 HRR196632:HRR196633 IBN196632:IBN196633 ILJ196632:ILJ196633 IVF196632:IVF196633 JFB196632:JFB196633 JOX196632:JOX196633 JYT196632:JYT196633 KIP196632:KIP196633 KSL196632:KSL196633 LCH196632:LCH196633 LMD196632:LMD196633 LVZ196632:LVZ196633 MFV196632:MFV196633 MPR196632:MPR196633 MZN196632:MZN196633 NJJ196632:NJJ196633 NTF196632:NTF196633 ODB196632:ODB196633 OMX196632:OMX196633 OWT196632:OWT196633 PGP196632:PGP196633 PQL196632:PQL196633 QAH196632:QAH196633 QKD196632:QKD196633 QTZ196632:QTZ196633 RDV196632:RDV196633 RNR196632:RNR196633 RXN196632:RXN196633 SHJ196632:SHJ196633 SRF196632:SRF196633 TBB196632:TBB196633 TKX196632:TKX196633 TUT196632:TUT196633 UEP196632:UEP196633 UOL196632:UOL196633 UYH196632:UYH196633 VID196632:VID196633 VRZ196632:VRZ196633 WBV196632:WBV196633 WLR196632:WLR196633 WVN196632:WVN196633 F262168:F262169 JB262168:JB262169 SX262168:SX262169 ACT262168:ACT262169 AMP262168:AMP262169 AWL262168:AWL262169 BGH262168:BGH262169 BQD262168:BQD262169 BZZ262168:BZZ262169 CJV262168:CJV262169 CTR262168:CTR262169 DDN262168:DDN262169 DNJ262168:DNJ262169 DXF262168:DXF262169 EHB262168:EHB262169 EQX262168:EQX262169 FAT262168:FAT262169 FKP262168:FKP262169 FUL262168:FUL262169 GEH262168:GEH262169 GOD262168:GOD262169 GXZ262168:GXZ262169 HHV262168:HHV262169 HRR262168:HRR262169 IBN262168:IBN262169 ILJ262168:ILJ262169 IVF262168:IVF262169 JFB262168:JFB262169 JOX262168:JOX262169 JYT262168:JYT262169 KIP262168:KIP262169 KSL262168:KSL262169 LCH262168:LCH262169 LMD262168:LMD262169 LVZ262168:LVZ262169 MFV262168:MFV262169 MPR262168:MPR262169 MZN262168:MZN262169 NJJ262168:NJJ262169 NTF262168:NTF262169 ODB262168:ODB262169 OMX262168:OMX262169 OWT262168:OWT262169 PGP262168:PGP262169 PQL262168:PQL262169 QAH262168:QAH262169 QKD262168:QKD262169 QTZ262168:QTZ262169 RDV262168:RDV262169 RNR262168:RNR262169 RXN262168:RXN262169 SHJ262168:SHJ262169 SRF262168:SRF262169 TBB262168:TBB262169 TKX262168:TKX262169 TUT262168:TUT262169 UEP262168:UEP262169 UOL262168:UOL262169 UYH262168:UYH262169 VID262168:VID262169 VRZ262168:VRZ262169 WBV262168:WBV262169 WLR262168:WLR262169 WVN262168:WVN262169 F327704:F327705 JB327704:JB327705 SX327704:SX327705 ACT327704:ACT327705 AMP327704:AMP327705 AWL327704:AWL327705 BGH327704:BGH327705 BQD327704:BQD327705 BZZ327704:BZZ327705 CJV327704:CJV327705 CTR327704:CTR327705 DDN327704:DDN327705 DNJ327704:DNJ327705 DXF327704:DXF327705 EHB327704:EHB327705 EQX327704:EQX327705 FAT327704:FAT327705 FKP327704:FKP327705 FUL327704:FUL327705 GEH327704:GEH327705 GOD327704:GOD327705 GXZ327704:GXZ327705 HHV327704:HHV327705 HRR327704:HRR327705 IBN327704:IBN327705 ILJ327704:ILJ327705 IVF327704:IVF327705 JFB327704:JFB327705 JOX327704:JOX327705 JYT327704:JYT327705 KIP327704:KIP327705 KSL327704:KSL327705 LCH327704:LCH327705 LMD327704:LMD327705 LVZ327704:LVZ327705 MFV327704:MFV327705 MPR327704:MPR327705 MZN327704:MZN327705 NJJ327704:NJJ327705 NTF327704:NTF327705 ODB327704:ODB327705 OMX327704:OMX327705 OWT327704:OWT327705 PGP327704:PGP327705 PQL327704:PQL327705 QAH327704:QAH327705 QKD327704:QKD327705 QTZ327704:QTZ327705 RDV327704:RDV327705 RNR327704:RNR327705 RXN327704:RXN327705 SHJ327704:SHJ327705 SRF327704:SRF327705 TBB327704:TBB327705 TKX327704:TKX327705 TUT327704:TUT327705 UEP327704:UEP327705 UOL327704:UOL327705 UYH327704:UYH327705 VID327704:VID327705 VRZ327704:VRZ327705 WBV327704:WBV327705 WLR327704:WLR327705 WVN327704:WVN327705 F393240:F393241 JB393240:JB393241 SX393240:SX393241 ACT393240:ACT393241 AMP393240:AMP393241 AWL393240:AWL393241 BGH393240:BGH393241 BQD393240:BQD393241 BZZ393240:BZZ393241 CJV393240:CJV393241 CTR393240:CTR393241 DDN393240:DDN393241 DNJ393240:DNJ393241 DXF393240:DXF393241 EHB393240:EHB393241 EQX393240:EQX393241 FAT393240:FAT393241 FKP393240:FKP393241 FUL393240:FUL393241 GEH393240:GEH393241 GOD393240:GOD393241 GXZ393240:GXZ393241 HHV393240:HHV393241 HRR393240:HRR393241 IBN393240:IBN393241 ILJ393240:ILJ393241 IVF393240:IVF393241 JFB393240:JFB393241 JOX393240:JOX393241 JYT393240:JYT393241 KIP393240:KIP393241 KSL393240:KSL393241 LCH393240:LCH393241 LMD393240:LMD393241 LVZ393240:LVZ393241 MFV393240:MFV393241 MPR393240:MPR393241 MZN393240:MZN393241 NJJ393240:NJJ393241 NTF393240:NTF393241 ODB393240:ODB393241 OMX393240:OMX393241 OWT393240:OWT393241 PGP393240:PGP393241 PQL393240:PQL393241 QAH393240:QAH393241 QKD393240:QKD393241 QTZ393240:QTZ393241 RDV393240:RDV393241 RNR393240:RNR393241 RXN393240:RXN393241 SHJ393240:SHJ393241 SRF393240:SRF393241 TBB393240:TBB393241 TKX393240:TKX393241 TUT393240:TUT393241 UEP393240:UEP393241 UOL393240:UOL393241 UYH393240:UYH393241 VID393240:VID393241 VRZ393240:VRZ393241 WBV393240:WBV393241 WLR393240:WLR393241 WVN393240:WVN393241 F458776:F458777 JB458776:JB458777 SX458776:SX458777 ACT458776:ACT458777 AMP458776:AMP458777 AWL458776:AWL458777 BGH458776:BGH458777 BQD458776:BQD458777 BZZ458776:BZZ458777 CJV458776:CJV458777 CTR458776:CTR458777 DDN458776:DDN458777 DNJ458776:DNJ458777 DXF458776:DXF458777 EHB458776:EHB458777 EQX458776:EQX458777 FAT458776:FAT458777 FKP458776:FKP458777 FUL458776:FUL458777 GEH458776:GEH458777 GOD458776:GOD458777 GXZ458776:GXZ458777 HHV458776:HHV458777 HRR458776:HRR458777 IBN458776:IBN458777 ILJ458776:ILJ458777 IVF458776:IVF458777 JFB458776:JFB458777 JOX458776:JOX458777 JYT458776:JYT458777 KIP458776:KIP458777 KSL458776:KSL458777 LCH458776:LCH458777 LMD458776:LMD458777 LVZ458776:LVZ458777 MFV458776:MFV458777 MPR458776:MPR458777 MZN458776:MZN458777 NJJ458776:NJJ458777 NTF458776:NTF458777 ODB458776:ODB458777 OMX458776:OMX458777 OWT458776:OWT458777 PGP458776:PGP458777 PQL458776:PQL458777 QAH458776:QAH458777 QKD458776:QKD458777 QTZ458776:QTZ458777 RDV458776:RDV458777 RNR458776:RNR458777 RXN458776:RXN458777 SHJ458776:SHJ458777 SRF458776:SRF458777 TBB458776:TBB458777 TKX458776:TKX458777 TUT458776:TUT458777 UEP458776:UEP458777 UOL458776:UOL458777 UYH458776:UYH458777 VID458776:VID458777 VRZ458776:VRZ458777 WBV458776:WBV458777 WLR458776:WLR458777 WVN458776:WVN458777 F524312:F524313 JB524312:JB524313 SX524312:SX524313 ACT524312:ACT524313 AMP524312:AMP524313 AWL524312:AWL524313 BGH524312:BGH524313 BQD524312:BQD524313 BZZ524312:BZZ524313 CJV524312:CJV524313 CTR524312:CTR524313 DDN524312:DDN524313 DNJ524312:DNJ524313 DXF524312:DXF524313 EHB524312:EHB524313 EQX524312:EQX524313 FAT524312:FAT524313 FKP524312:FKP524313 FUL524312:FUL524313 GEH524312:GEH524313 GOD524312:GOD524313 GXZ524312:GXZ524313 HHV524312:HHV524313 HRR524312:HRR524313 IBN524312:IBN524313 ILJ524312:ILJ524313 IVF524312:IVF524313 JFB524312:JFB524313 JOX524312:JOX524313 JYT524312:JYT524313 KIP524312:KIP524313 KSL524312:KSL524313 LCH524312:LCH524313 LMD524312:LMD524313 LVZ524312:LVZ524313 MFV524312:MFV524313 MPR524312:MPR524313 MZN524312:MZN524313 NJJ524312:NJJ524313 NTF524312:NTF524313 ODB524312:ODB524313 OMX524312:OMX524313 OWT524312:OWT524313 PGP524312:PGP524313 PQL524312:PQL524313 QAH524312:QAH524313 QKD524312:QKD524313 QTZ524312:QTZ524313 RDV524312:RDV524313 RNR524312:RNR524313 RXN524312:RXN524313 SHJ524312:SHJ524313 SRF524312:SRF524313 TBB524312:TBB524313 TKX524312:TKX524313 TUT524312:TUT524313 UEP524312:UEP524313 UOL524312:UOL524313 UYH524312:UYH524313 VID524312:VID524313 VRZ524312:VRZ524313 WBV524312:WBV524313 WLR524312:WLR524313 WVN524312:WVN524313 F589848:F589849 JB589848:JB589849 SX589848:SX589849 ACT589848:ACT589849 AMP589848:AMP589849 AWL589848:AWL589849 BGH589848:BGH589849 BQD589848:BQD589849 BZZ589848:BZZ589849 CJV589848:CJV589849 CTR589848:CTR589849 DDN589848:DDN589849 DNJ589848:DNJ589849 DXF589848:DXF589849 EHB589848:EHB589849 EQX589848:EQX589849 FAT589848:FAT589849 FKP589848:FKP589849 FUL589848:FUL589849 GEH589848:GEH589849 GOD589848:GOD589849 GXZ589848:GXZ589849 HHV589848:HHV589849 HRR589848:HRR589849 IBN589848:IBN589849 ILJ589848:ILJ589849 IVF589848:IVF589849 JFB589848:JFB589849 JOX589848:JOX589849 JYT589848:JYT589849 KIP589848:KIP589849 KSL589848:KSL589849 LCH589848:LCH589849 LMD589848:LMD589849 LVZ589848:LVZ589849 MFV589848:MFV589849 MPR589848:MPR589849 MZN589848:MZN589849 NJJ589848:NJJ589849 NTF589848:NTF589849 ODB589848:ODB589849 OMX589848:OMX589849 OWT589848:OWT589849 PGP589848:PGP589849 PQL589848:PQL589849 QAH589848:QAH589849 QKD589848:QKD589849 QTZ589848:QTZ589849 RDV589848:RDV589849 RNR589848:RNR589849 RXN589848:RXN589849 SHJ589848:SHJ589849 SRF589848:SRF589849 TBB589848:TBB589849 TKX589848:TKX589849 TUT589848:TUT589849 UEP589848:UEP589849 UOL589848:UOL589849 UYH589848:UYH589849 VID589848:VID589849 VRZ589848:VRZ589849 WBV589848:WBV589849 WLR589848:WLR589849 WVN589848:WVN589849 F655384:F655385 JB655384:JB655385 SX655384:SX655385 ACT655384:ACT655385 AMP655384:AMP655385 AWL655384:AWL655385 BGH655384:BGH655385 BQD655384:BQD655385 BZZ655384:BZZ655385 CJV655384:CJV655385 CTR655384:CTR655385 DDN655384:DDN655385 DNJ655384:DNJ655385 DXF655384:DXF655385 EHB655384:EHB655385 EQX655384:EQX655385 FAT655384:FAT655385 FKP655384:FKP655385 FUL655384:FUL655385 GEH655384:GEH655385 GOD655384:GOD655385 GXZ655384:GXZ655385 HHV655384:HHV655385 HRR655384:HRR655385 IBN655384:IBN655385 ILJ655384:ILJ655385 IVF655384:IVF655385 JFB655384:JFB655385 JOX655384:JOX655385 JYT655384:JYT655385 KIP655384:KIP655385 KSL655384:KSL655385 LCH655384:LCH655385 LMD655384:LMD655385 LVZ655384:LVZ655385 MFV655384:MFV655385 MPR655384:MPR655385 MZN655384:MZN655385 NJJ655384:NJJ655385 NTF655384:NTF655385 ODB655384:ODB655385 OMX655384:OMX655385 OWT655384:OWT655385 PGP655384:PGP655385 PQL655384:PQL655385 QAH655384:QAH655385 QKD655384:QKD655385 QTZ655384:QTZ655385 RDV655384:RDV655385 RNR655384:RNR655385 RXN655384:RXN655385 SHJ655384:SHJ655385 SRF655384:SRF655385 TBB655384:TBB655385 TKX655384:TKX655385 TUT655384:TUT655385 UEP655384:UEP655385 UOL655384:UOL655385 UYH655384:UYH655385 VID655384:VID655385 VRZ655384:VRZ655385 WBV655384:WBV655385 WLR655384:WLR655385 WVN655384:WVN655385 F720920:F720921 JB720920:JB720921 SX720920:SX720921 ACT720920:ACT720921 AMP720920:AMP720921 AWL720920:AWL720921 BGH720920:BGH720921 BQD720920:BQD720921 BZZ720920:BZZ720921 CJV720920:CJV720921 CTR720920:CTR720921 DDN720920:DDN720921 DNJ720920:DNJ720921 DXF720920:DXF720921 EHB720920:EHB720921 EQX720920:EQX720921 FAT720920:FAT720921 FKP720920:FKP720921 FUL720920:FUL720921 GEH720920:GEH720921 GOD720920:GOD720921 GXZ720920:GXZ720921 HHV720920:HHV720921 HRR720920:HRR720921 IBN720920:IBN720921 ILJ720920:ILJ720921 IVF720920:IVF720921 JFB720920:JFB720921 JOX720920:JOX720921 JYT720920:JYT720921 KIP720920:KIP720921 KSL720920:KSL720921 LCH720920:LCH720921 LMD720920:LMD720921 LVZ720920:LVZ720921 MFV720920:MFV720921 MPR720920:MPR720921 MZN720920:MZN720921 NJJ720920:NJJ720921 NTF720920:NTF720921 ODB720920:ODB720921 OMX720920:OMX720921 OWT720920:OWT720921 PGP720920:PGP720921 PQL720920:PQL720921 QAH720920:QAH720921 QKD720920:QKD720921 QTZ720920:QTZ720921 RDV720920:RDV720921 RNR720920:RNR720921 RXN720920:RXN720921 SHJ720920:SHJ720921 SRF720920:SRF720921 TBB720920:TBB720921 TKX720920:TKX720921 TUT720920:TUT720921 UEP720920:UEP720921 UOL720920:UOL720921 UYH720920:UYH720921 VID720920:VID720921 VRZ720920:VRZ720921 WBV720920:WBV720921 WLR720920:WLR720921 WVN720920:WVN720921 F786456:F786457 JB786456:JB786457 SX786456:SX786457 ACT786456:ACT786457 AMP786456:AMP786457 AWL786456:AWL786457 BGH786456:BGH786457 BQD786456:BQD786457 BZZ786456:BZZ786457 CJV786456:CJV786457 CTR786456:CTR786457 DDN786456:DDN786457 DNJ786456:DNJ786457 DXF786456:DXF786457 EHB786456:EHB786457 EQX786456:EQX786457 FAT786456:FAT786457 FKP786456:FKP786457 FUL786456:FUL786457 GEH786456:GEH786457 GOD786456:GOD786457 GXZ786456:GXZ786457 HHV786456:HHV786457 HRR786456:HRR786457 IBN786456:IBN786457 ILJ786456:ILJ786457 IVF786456:IVF786457 JFB786456:JFB786457 JOX786456:JOX786457 JYT786456:JYT786457 KIP786456:KIP786457 KSL786456:KSL786457 LCH786456:LCH786457 LMD786456:LMD786457 LVZ786456:LVZ786457 MFV786456:MFV786457 MPR786456:MPR786457 MZN786456:MZN786457 NJJ786456:NJJ786457 NTF786456:NTF786457 ODB786456:ODB786457 OMX786456:OMX786457 OWT786456:OWT786457 PGP786456:PGP786457 PQL786456:PQL786457 QAH786456:QAH786457 QKD786456:QKD786457 QTZ786456:QTZ786457 RDV786456:RDV786457 RNR786456:RNR786457 RXN786456:RXN786457 SHJ786456:SHJ786457 SRF786456:SRF786457 TBB786456:TBB786457 TKX786456:TKX786457 TUT786456:TUT786457 UEP786456:UEP786457 UOL786456:UOL786457 UYH786456:UYH786457 VID786456:VID786457 VRZ786456:VRZ786457 WBV786456:WBV786457 WLR786456:WLR786457 WVN786456:WVN786457 F851992:F851993 JB851992:JB851993 SX851992:SX851993 ACT851992:ACT851993 AMP851992:AMP851993 AWL851992:AWL851993 BGH851992:BGH851993 BQD851992:BQD851993 BZZ851992:BZZ851993 CJV851992:CJV851993 CTR851992:CTR851993 DDN851992:DDN851993 DNJ851992:DNJ851993 DXF851992:DXF851993 EHB851992:EHB851993 EQX851992:EQX851993 FAT851992:FAT851993 FKP851992:FKP851993 FUL851992:FUL851993 GEH851992:GEH851993 GOD851992:GOD851993 GXZ851992:GXZ851993 HHV851992:HHV851993 HRR851992:HRR851993 IBN851992:IBN851993 ILJ851992:ILJ851993 IVF851992:IVF851993 JFB851992:JFB851993 JOX851992:JOX851993 JYT851992:JYT851993 KIP851992:KIP851993 KSL851992:KSL851993 LCH851992:LCH851993 LMD851992:LMD851993 LVZ851992:LVZ851993 MFV851992:MFV851993 MPR851992:MPR851993 MZN851992:MZN851993 NJJ851992:NJJ851993 NTF851992:NTF851993 ODB851992:ODB851993 OMX851992:OMX851993 OWT851992:OWT851993 PGP851992:PGP851993 PQL851992:PQL851993 QAH851992:QAH851993 QKD851992:QKD851993 QTZ851992:QTZ851993 RDV851992:RDV851993 RNR851992:RNR851993 RXN851992:RXN851993 SHJ851992:SHJ851993 SRF851992:SRF851993 TBB851992:TBB851993 TKX851992:TKX851993 TUT851992:TUT851993 UEP851992:UEP851993 UOL851992:UOL851993 UYH851992:UYH851993 VID851992:VID851993 VRZ851992:VRZ851993 WBV851992:WBV851993 WLR851992:WLR851993 WVN851992:WVN851993 F917528:F917529 JB917528:JB917529 SX917528:SX917529 ACT917528:ACT917529 AMP917528:AMP917529 AWL917528:AWL917529 BGH917528:BGH917529 BQD917528:BQD917529 BZZ917528:BZZ917529 CJV917528:CJV917529 CTR917528:CTR917529 DDN917528:DDN917529 DNJ917528:DNJ917529 DXF917528:DXF917529 EHB917528:EHB917529 EQX917528:EQX917529 FAT917528:FAT917529 FKP917528:FKP917529 FUL917528:FUL917529 GEH917528:GEH917529 GOD917528:GOD917529 GXZ917528:GXZ917529 HHV917528:HHV917529 HRR917528:HRR917529 IBN917528:IBN917529 ILJ917528:ILJ917529 IVF917528:IVF917529 JFB917528:JFB917529 JOX917528:JOX917529 JYT917528:JYT917529 KIP917528:KIP917529 KSL917528:KSL917529 LCH917528:LCH917529 LMD917528:LMD917529 LVZ917528:LVZ917529 MFV917528:MFV917529 MPR917528:MPR917529 MZN917528:MZN917529 NJJ917528:NJJ917529 NTF917528:NTF917529 ODB917528:ODB917529 OMX917528:OMX917529 OWT917528:OWT917529 PGP917528:PGP917529 PQL917528:PQL917529 QAH917528:QAH917529 QKD917528:QKD917529 QTZ917528:QTZ917529 RDV917528:RDV917529 RNR917528:RNR917529 RXN917528:RXN917529 SHJ917528:SHJ917529 SRF917528:SRF917529 TBB917528:TBB917529 TKX917528:TKX917529 TUT917528:TUT917529 UEP917528:UEP917529 UOL917528:UOL917529 UYH917528:UYH917529 VID917528:VID917529 VRZ917528:VRZ917529 WBV917528:WBV917529 WLR917528:WLR917529 WVN917528:WVN917529 F983064:F983065 JB983064:JB983065 SX983064:SX983065 ACT983064:ACT983065 AMP983064:AMP983065 AWL983064:AWL983065 BGH983064:BGH983065 BQD983064:BQD983065 BZZ983064:BZZ983065 CJV983064:CJV983065 CTR983064:CTR983065 DDN983064:DDN983065 DNJ983064:DNJ983065 DXF983064:DXF983065 EHB983064:EHB983065 EQX983064:EQX983065 FAT983064:FAT983065 FKP983064:FKP983065 FUL983064:FUL983065 GEH983064:GEH983065 GOD983064:GOD983065 GXZ983064:GXZ983065 HHV983064:HHV983065 HRR983064:HRR983065 IBN983064:IBN983065 ILJ983064:ILJ983065 IVF983064:IVF983065 JFB983064:JFB983065 JOX983064:JOX983065 JYT983064:JYT983065 KIP983064:KIP983065 KSL983064:KSL983065 LCH983064:LCH983065 LMD983064:LMD983065 LVZ983064:LVZ983065 MFV983064:MFV983065 MPR983064:MPR983065 MZN983064:MZN983065 NJJ983064:NJJ983065 NTF983064:NTF983065 ODB983064:ODB983065 OMX983064:OMX983065 OWT983064:OWT983065 PGP983064:PGP983065 PQL983064:PQL983065 QAH983064:QAH983065 QKD983064:QKD983065 QTZ983064:QTZ983065 RDV983064:RDV983065 RNR983064:RNR983065 RXN983064:RXN983065 SHJ983064:SHJ983065 SRF983064:SRF983065 TBB983064:TBB983065 TKX983064:TKX983065 TUT983064:TUT983065 UEP983064:UEP983065 UOL983064:UOL983065 UYH983064:UYH983065 VID983064:VID983065 VRZ983064:VRZ983065 WBV983064:WBV983065 WLR983064:WLR983065 WVN983064:WVN983065 H25:IU26 JD25:SQ26 SZ25:ACM26 ACV25:AMI26 AMR25:AWE26 AWN25:BGA26 BGJ25:BPW26 BQF25:BZS26 CAB25:CJO26 CJX25:CTK26 CTT25:DDG26 DDP25:DNC26 DNL25:DWY26 DXH25:EGU26 EHD25:EQQ26 EQZ25:FAM26 FAV25:FKI26 FKR25:FUE26 FUN25:GEA26 GEJ25:GNW26 GOF25:GXS26 GYB25:HHO26 HHX25:HRK26 HRT25:IBG26 IBP25:ILC26 ILL25:IUY26 IVH25:JEU26 JFD25:JOQ26 JOZ25:JYM26 JYV25:KII26 KIR25:KSE26 KSN25:LCA26 LCJ25:LLW26 LMF25:LVS26 LWB25:MFO26 MFX25:MPK26 MPT25:MZG26 MZP25:NJC26 NJL25:NSY26 NTH25:OCU26 ODD25:OMQ26 OMZ25:OWM26 OWV25:PGI26 PGR25:PQE26 PQN25:QAA26 QAJ25:QJW26 QKF25:QTS26 QUB25:RDO26 RDX25:RNK26 RNT25:RXG26 RXP25:SHC26 SHL25:SQY26 SRH25:TAU26 TBD25:TKQ26 TKZ25:TUM26 TUV25:UEI26 UER25:UOE26 UON25:UYA26 UYJ25:VHW26 VIF25:VRS26 VSB25:WBO26 WBX25:WLK26 WLT25:WVG26 WVP25:XFD26 H65560:IU65561 JD65560:SQ65561 SZ65560:ACM65561 ACV65560:AMI65561 AMR65560:AWE65561 AWN65560:BGA65561 BGJ65560:BPW65561 BQF65560:BZS65561 CAB65560:CJO65561 CJX65560:CTK65561 CTT65560:DDG65561 DDP65560:DNC65561 DNL65560:DWY65561 DXH65560:EGU65561 EHD65560:EQQ65561 EQZ65560:FAM65561 FAV65560:FKI65561 FKR65560:FUE65561 FUN65560:GEA65561 GEJ65560:GNW65561 GOF65560:GXS65561 GYB65560:HHO65561 HHX65560:HRK65561 HRT65560:IBG65561 IBP65560:ILC65561 ILL65560:IUY65561 IVH65560:JEU65561 JFD65560:JOQ65561 JOZ65560:JYM65561 JYV65560:KII65561 KIR65560:KSE65561 KSN65560:LCA65561 LCJ65560:LLW65561 LMF65560:LVS65561 LWB65560:MFO65561 MFX65560:MPK65561 MPT65560:MZG65561 MZP65560:NJC65561 NJL65560:NSY65561 NTH65560:OCU65561 ODD65560:OMQ65561 OMZ65560:OWM65561 OWV65560:PGI65561 PGR65560:PQE65561 PQN65560:QAA65561 QAJ65560:QJW65561 QKF65560:QTS65561 QUB65560:RDO65561 RDX65560:RNK65561 RNT65560:RXG65561 RXP65560:SHC65561 SHL65560:SQY65561 SRH65560:TAU65561 TBD65560:TKQ65561 TKZ65560:TUM65561 TUV65560:UEI65561 UER65560:UOE65561 UON65560:UYA65561 UYJ65560:VHW65561 VIF65560:VRS65561 VSB65560:WBO65561 WBX65560:WLK65561 WLT65560:WVG65561 WVP65560:XFD65561 H131096:IU131097 JD131096:SQ131097 SZ131096:ACM131097 ACV131096:AMI131097 AMR131096:AWE131097 AWN131096:BGA131097 BGJ131096:BPW131097 BQF131096:BZS131097 CAB131096:CJO131097 CJX131096:CTK131097 CTT131096:DDG131097 DDP131096:DNC131097 DNL131096:DWY131097 DXH131096:EGU131097 EHD131096:EQQ131097 EQZ131096:FAM131097 FAV131096:FKI131097 FKR131096:FUE131097 FUN131096:GEA131097 GEJ131096:GNW131097 GOF131096:GXS131097 GYB131096:HHO131097 HHX131096:HRK131097 HRT131096:IBG131097 IBP131096:ILC131097 ILL131096:IUY131097 IVH131096:JEU131097 JFD131096:JOQ131097 JOZ131096:JYM131097 JYV131096:KII131097 KIR131096:KSE131097 KSN131096:LCA131097 LCJ131096:LLW131097 LMF131096:LVS131097 LWB131096:MFO131097 MFX131096:MPK131097 MPT131096:MZG131097 MZP131096:NJC131097 NJL131096:NSY131097 NTH131096:OCU131097 ODD131096:OMQ131097 OMZ131096:OWM131097 OWV131096:PGI131097 PGR131096:PQE131097 PQN131096:QAA131097 QAJ131096:QJW131097 QKF131096:QTS131097 QUB131096:RDO131097 RDX131096:RNK131097 RNT131096:RXG131097 RXP131096:SHC131097 SHL131096:SQY131097 SRH131096:TAU131097 TBD131096:TKQ131097 TKZ131096:TUM131097 TUV131096:UEI131097 UER131096:UOE131097 UON131096:UYA131097 UYJ131096:VHW131097 VIF131096:VRS131097 VSB131096:WBO131097 WBX131096:WLK131097 WLT131096:WVG131097 WVP131096:XFD131097 H196632:IU196633 JD196632:SQ196633 SZ196632:ACM196633 ACV196632:AMI196633 AMR196632:AWE196633 AWN196632:BGA196633 BGJ196632:BPW196633 BQF196632:BZS196633 CAB196632:CJO196633 CJX196632:CTK196633 CTT196632:DDG196633 DDP196632:DNC196633 DNL196632:DWY196633 DXH196632:EGU196633 EHD196632:EQQ196633 EQZ196632:FAM196633 FAV196632:FKI196633 FKR196632:FUE196633 FUN196632:GEA196633 GEJ196632:GNW196633 GOF196632:GXS196633 GYB196632:HHO196633 HHX196632:HRK196633 HRT196632:IBG196633 IBP196632:ILC196633 ILL196632:IUY196633 IVH196632:JEU196633 JFD196632:JOQ196633 JOZ196632:JYM196633 JYV196632:KII196633 KIR196632:KSE196633 KSN196632:LCA196633 LCJ196632:LLW196633 LMF196632:LVS196633 LWB196632:MFO196633 MFX196632:MPK196633 MPT196632:MZG196633 MZP196632:NJC196633 NJL196632:NSY196633 NTH196632:OCU196633 ODD196632:OMQ196633 OMZ196632:OWM196633 OWV196632:PGI196633 PGR196632:PQE196633 PQN196632:QAA196633 QAJ196632:QJW196633 QKF196632:QTS196633 QUB196632:RDO196633 RDX196632:RNK196633 RNT196632:RXG196633 RXP196632:SHC196633 SHL196632:SQY196633 SRH196632:TAU196633 TBD196632:TKQ196633 TKZ196632:TUM196633 TUV196632:UEI196633 UER196632:UOE196633 UON196632:UYA196633 UYJ196632:VHW196633 VIF196632:VRS196633 VSB196632:WBO196633 WBX196632:WLK196633 WLT196632:WVG196633 WVP196632:XFD196633 H262168:IU262169 JD262168:SQ262169 SZ262168:ACM262169 ACV262168:AMI262169 AMR262168:AWE262169 AWN262168:BGA262169 BGJ262168:BPW262169 BQF262168:BZS262169 CAB262168:CJO262169 CJX262168:CTK262169 CTT262168:DDG262169 DDP262168:DNC262169 DNL262168:DWY262169 DXH262168:EGU262169 EHD262168:EQQ262169 EQZ262168:FAM262169 FAV262168:FKI262169 FKR262168:FUE262169 FUN262168:GEA262169 GEJ262168:GNW262169 GOF262168:GXS262169 GYB262168:HHO262169 HHX262168:HRK262169 HRT262168:IBG262169 IBP262168:ILC262169 ILL262168:IUY262169 IVH262168:JEU262169 JFD262168:JOQ262169 JOZ262168:JYM262169 JYV262168:KII262169 KIR262168:KSE262169 KSN262168:LCA262169 LCJ262168:LLW262169 LMF262168:LVS262169 LWB262168:MFO262169 MFX262168:MPK262169 MPT262168:MZG262169 MZP262168:NJC262169 NJL262168:NSY262169 NTH262168:OCU262169 ODD262168:OMQ262169 OMZ262168:OWM262169 OWV262168:PGI262169 PGR262168:PQE262169 PQN262168:QAA262169 QAJ262168:QJW262169 QKF262168:QTS262169 QUB262168:RDO262169 RDX262168:RNK262169 RNT262168:RXG262169 RXP262168:SHC262169 SHL262168:SQY262169 SRH262168:TAU262169 TBD262168:TKQ262169 TKZ262168:TUM262169 TUV262168:UEI262169 UER262168:UOE262169 UON262168:UYA262169 UYJ262168:VHW262169 VIF262168:VRS262169 VSB262168:WBO262169 WBX262168:WLK262169 WLT262168:WVG262169 WVP262168:XFD262169 H327704:IU327705 JD327704:SQ327705 SZ327704:ACM327705 ACV327704:AMI327705 AMR327704:AWE327705 AWN327704:BGA327705 BGJ327704:BPW327705 BQF327704:BZS327705 CAB327704:CJO327705 CJX327704:CTK327705 CTT327704:DDG327705 DDP327704:DNC327705 DNL327704:DWY327705 DXH327704:EGU327705 EHD327704:EQQ327705 EQZ327704:FAM327705 FAV327704:FKI327705 FKR327704:FUE327705 FUN327704:GEA327705 GEJ327704:GNW327705 GOF327704:GXS327705 GYB327704:HHO327705 HHX327704:HRK327705 HRT327704:IBG327705 IBP327704:ILC327705 ILL327704:IUY327705 IVH327704:JEU327705 JFD327704:JOQ327705 JOZ327704:JYM327705 JYV327704:KII327705 KIR327704:KSE327705 KSN327704:LCA327705 LCJ327704:LLW327705 LMF327704:LVS327705 LWB327704:MFO327705 MFX327704:MPK327705 MPT327704:MZG327705 MZP327704:NJC327705 NJL327704:NSY327705 NTH327704:OCU327705 ODD327704:OMQ327705 OMZ327704:OWM327705 OWV327704:PGI327705 PGR327704:PQE327705 PQN327704:QAA327705 QAJ327704:QJW327705 QKF327704:QTS327705 QUB327704:RDO327705 RDX327704:RNK327705 RNT327704:RXG327705 RXP327704:SHC327705 SHL327704:SQY327705 SRH327704:TAU327705 TBD327704:TKQ327705 TKZ327704:TUM327705 TUV327704:UEI327705 UER327704:UOE327705 UON327704:UYA327705 UYJ327704:VHW327705 VIF327704:VRS327705 VSB327704:WBO327705 WBX327704:WLK327705 WLT327704:WVG327705 WVP327704:XFD327705 H393240:IU393241 JD393240:SQ393241 SZ393240:ACM393241 ACV393240:AMI393241 AMR393240:AWE393241 AWN393240:BGA393241 BGJ393240:BPW393241 BQF393240:BZS393241 CAB393240:CJO393241 CJX393240:CTK393241 CTT393240:DDG393241 DDP393240:DNC393241 DNL393240:DWY393241 DXH393240:EGU393241 EHD393240:EQQ393241 EQZ393240:FAM393241 FAV393240:FKI393241 FKR393240:FUE393241 FUN393240:GEA393241 GEJ393240:GNW393241 GOF393240:GXS393241 GYB393240:HHO393241 HHX393240:HRK393241 HRT393240:IBG393241 IBP393240:ILC393241 ILL393240:IUY393241 IVH393240:JEU393241 JFD393240:JOQ393241 JOZ393240:JYM393241 JYV393240:KII393241 KIR393240:KSE393241 KSN393240:LCA393241 LCJ393240:LLW393241 LMF393240:LVS393241 LWB393240:MFO393241 MFX393240:MPK393241 MPT393240:MZG393241 MZP393240:NJC393241 NJL393240:NSY393241 NTH393240:OCU393241 ODD393240:OMQ393241 OMZ393240:OWM393241 OWV393240:PGI393241 PGR393240:PQE393241 PQN393240:QAA393241 QAJ393240:QJW393241 QKF393240:QTS393241 QUB393240:RDO393241 RDX393240:RNK393241 RNT393240:RXG393241 RXP393240:SHC393241 SHL393240:SQY393241 SRH393240:TAU393241 TBD393240:TKQ393241 TKZ393240:TUM393241 TUV393240:UEI393241 UER393240:UOE393241 UON393240:UYA393241 UYJ393240:VHW393241 VIF393240:VRS393241 VSB393240:WBO393241 WBX393240:WLK393241 WLT393240:WVG393241 WVP393240:XFD393241 H458776:IU458777 JD458776:SQ458777 SZ458776:ACM458777 ACV458776:AMI458777 AMR458776:AWE458777 AWN458776:BGA458777 BGJ458776:BPW458777 BQF458776:BZS458777 CAB458776:CJO458777 CJX458776:CTK458777 CTT458776:DDG458777 DDP458776:DNC458777 DNL458776:DWY458777 DXH458776:EGU458777 EHD458776:EQQ458777 EQZ458776:FAM458777 FAV458776:FKI458777 FKR458776:FUE458777 FUN458776:GEA458777 GEJ458776:GNW458777 GOF458776:GXS458777 GYB458776:HHO458777 HHX458776:HRK458777 HRT458776:IBG458777 IBP458776:ILC458777 ILL458776:IUY458777 IVH458776:JEU458777 JFD458776:JOQ458777 JOZ458776:JYM458777 JYV458776:KII458777 KIR458776:KSE458777 KSN458776:LCA458777 LCJ458776:LLW458777 LMF458776:LVS458777 LWB458776:MFO458777 MFX458776:MPK458777 MPT458776:MZG458777 MZP458776:NJC458777 NJL458776:NSY458777 NTH458776:OCU458777 ODD458776:OMQ458777 OMZ458776:OWM458777 OWV458776:PGI458777 PGR458776:PQE458777 PQN458776:QAA458777 QAJ458776:QJW458777 QKF458776:QTS458777 QUB458776:RDO458777 RDX458776:RNK458777 RNT458776:RXG458777 RXP458776:SHC458777 SHL458776:SQY458777 SRH458776:TAU458777 TBD458776:TKQ458777 TKZ458776:TUM458777 TUV458776:UEI458777 UER458776:UOE458777 UON458776:UYA458777 UYJ458776:VHW458777 VIF458776:VRS458777 VSB458776:WBO458777 WBX458776:WLK458777 WLT458776:WVG458777 WVP458776:XFD458777 H524312:IU524313 JD524312:SQ524313 SZ524312:ACM524313 ACV524312:AMI524313 AMR524312:AWE524313 AWN524312:BGA524313 BGJ524312:BPW524313 BQF524312:BZS524313 CAB524312:CJO524313 CJX524312:CTK524313 CTT524312:DDG524313 DDP524312:DNC524313 DNL524312:DWY524313 DXH524312:EGU524313 EHD524312:EQQ524313 EQZ524312:FAM524313 FAV524312:FKI524313 FKR524312:FUE524313 FUN524312:GEA524313 GEJ524312:GNW524313 GOF524312:GXS524313 GYB524312:HHO524313 HHX524312:HRK524313 HRT524312:IBG524313 IBP524312:ILC524313 ILL524312:IUY524313 IVH524312:JEU524313 JFD524312:JOQ524313 JOZ524312:JYM524313 JYV524312:KII524313 KIR524312:KSE524313 KSN524312:LCA524313 LCJ524312:LLW524313 LMF524312:LVS524313 LWB524312:MFO524313 MFX524312:MPK524313 MPT524312:MZG524313 MZP524312:NJC524313 NJL524312:NSY524313 NTH524312:OCU524313 ODD524312:OMQ524313 OMZ524312:OWM524313 OWV524312:PGI524313 PGR524312:PQE524313 PQN524312:QAA524313 QAJ524312:QJW524313 QKF524312:QTS524313 QUB524312:RDO524313 RDX524312:RNK524313 RNT524312:RXG524313 RXP524312:SHC524313 SHL524312:SQY524313 SRH524312:TAU524313 TBD524312:TKQ524313 TKZ524312:TUM524313 TUV524312:UEI524313 UER524312:UOE524313 UON524312:UYA524313 UYJ524312:VHW524313 VIF524312:VRS524313 VSB524312:WBO524313 WBX524312:WLK524313 WLT524312:WVG524313 WVP524312:XFD524313 H589848:IU589849 JD589848:SQ589849 SZ589848:ACM589849 ACV589848:AMI589849 AMR589848:AWE589849 AWN589848:BGA589849 BGJ589848:BPW589849 BQF589848:BZS589849 CAB589848:CJO589849 CJX589848:CTK589849 CTT589848:DDG589849 DDP589848:DNC589849 DNL589848:DWY589849 DXH589848:EGU589849 EHD589848:EQQ589849 EQZ589848:FAM589849 FAV589848:FKI589849 FKR589848:FUE589849 FUN589848:GEA589849 GEJ589848:GNW589849 GOF589848:GXS589849 GYB589848:HHO589849 HHX589848:HRK589849 HRT589848:IBG589849 IBP589848:ILC589849 ILL589848:IUY589849 IVH589848:JEU589849 JFD589848:JOQ589849 JOZ589848:JYM589849 JYV589848:KII589849 KIR589848:KSE589849 KSN589848:LCA589849 LCJ589848:LLW589849 LMF589848:LVS589849 LWB589848:MFO589849 MFX589848:MPK589849 MPT589848:MZG589849 MZP589848:NJC589849 NJL589848:NSY589849 NTH589848:OCU589849 ODD589848:OMQ589849 OMZ589848:OWM589849 OWV589848:PGI589849 PGR589848:PQE589849 PQN589848:QAA589849 QAJ589848:QJW589849 QKF589848:QTS589849 QUB589848:RDO589849 RDX589848:RNK589849 RNT589848:RXG589849 RXP589848:SHC589849 SHL589848:SQY589849 SRH589848:TAU589849 TBD589848:TKQ589849 TKZ589848:TUM589849 TUV589848:UEI589849 UER589848:UOE589849 UON589848:UYA589849 UYJ589848:VHW589849 VIF589848:VRS589849 VSB589848:WBO589849 WBX589848:WLK589849 WLT589848:WVG589849 WVP589848:XFD589849 H655384:IU655385 JD655384:SQ655385 SZ655384:ACM655385 ACV655384:AMI655385 AMR655384:AWE655385 AWN655384:BGA655385 BGJ655384:BPW655385 BQF655384:BZS655385 CAB655384:CJO655385 CJX655384:CTK655385 CTT655384:DDG655385 DDP655384:DNC655385 DNL655384:DWY655385 DXH655384:EGU655385 EHD655384:EQQ655385 EQZ655384:FAM655385 FAV655384:FKI655385 FKR655384:FUE655385 FUN655384:GEA655385 GEJ655384:GNW655385 GOF655384:GXS655385 GYB655384:HHO655385 HHX655384:HRK655385 HRT655384:IBG655385 IBP655384:ILC655385 ILL655384:IUY655385 IVH655384:JEU655385 JFD655384:JOQ655385 JOZ655384:JYM655385 JYV655384:KII655385 KIR655384:KSE655385 KSN655384:LCA655385 LCJ655384:LLW655385 LMF655384:LVS655385 LWB655384:MFO655385 MFX655384:MPK655385 MPT655384:MZG655385 MZP655384:NJC655385 NJL655384:NSY655385 NTH655384:OCU655385 ODD655384:OMQ655385 OMZ655384:OWM655385 OWV655384:PGI655385 PGR655384:PQE655385 PQN655384:QAA655385 QAJ655384:QJW655385 QKF655384:QTS655385 QUB655384:RDO655385 RDX655384:RNK655385 RNT655384:RXG655385 RXP655384:SHC655385 SHL655384:SQY655385 SRH655384:TAU655385 TBD655384:TKQ655385 TKZ655384:TUM655385 TUV655384:UEI655385 UER655384:UOE655385 UON655384:UYA655385 UYJ655384:VHW655385 VIF655384:VRS655385 VSB655384:WBO655385 WBX655384:WLK655385 WLT655384:WVG655385 WVP655384:XFD655385 H720920:IU720921 JD720920:SQ720921 SZ720920:ACM720921 ACV720920:AMI720921 AMR720920:AWE720921 AWN720920:BGA720921 BGJ720920:BPW720921 BQF720920:BZS720921 CAB720920:CJO720921 CJX720920:CTK720921 CTT720920:DDG720921 DDP720920:DNC720921 DNL720920:DWY720921 DXH720920:EGU720921 EHD720920:EQQ720921 EQZ720920:FAM720921 FAV720920:FKI720921 FKR720920:FUE720921 FUN720920:GEA720921 GEJ720920:GNW720921 GOF720920:GXS720921 GYB720920:HHO720921 HHX720920:HRK720921 HRT720920:IBG720921 IBP720920:ILC720921 ILL720920:IUY720921 IVH720920:JEU720921 JFD720920:JOQ720921 JOZ720920:JYM720921 JYV720920:KII720921 KIR720920:KSE720921 KSN720920:LCA720921 LCJ720920:LLW720921 LMF720920:LVS720921 LWB720920:MFO720921 MFX720920:MPK720921 MPT720920:MZG720921 MZP720920:NJC720921 NJL720920:NSY720921 NTH720920:OCU720921 ODD720920:OMQ720921 OMZ720920:OWM720921 OWV720920:PGI720921 PGR720920:PQE720921 PQN720920:QAA720921 QAJ720920:QJW720921 QKF720920:QTS720921 QUB720920:RDO720921 RDX720920:RNK720921 RNT720920:RXG720921 RXP720920:SHC720921 SHL720920:SQY720921 SRH720920:TAU720921 TBD720920:TKQ720921 TKZ720920:TUM720921 TUV720920:UEI720921 UER720920:UOE720921 UON720920:UYA720921 UYJ720920:VHW720921 VIF720920:VRS720921 VSB720920:WBO720921 WBX720920:WLK720921 WLT720920:WVG720921 WVP720920:XFD720921 H786456:IU786457 JD786456:SQ786457 SZ786456:ACM786457 ACV786456:AMI786457 AMR786456:AWE786457 AWN786456:BGA786457 BGJ786456:BPW786457 BQF786456:BZS786457 CAB786456:CJO786457 CJX786456:CTK786457 CTT786456:DDG786457 DDP786456:DNC786457 DNL786456:DWY786457 DXH786456:EGU786457 EHD786456:EQQ786457 EQZ786456:FAM786457 FAV786456:FKI786457 FKR786456:FUE786457 FUN786456:GEA786457 GEJ786456:GNW786457 GOF786456:GXS786457 GYB786456:HHO786457 HHX786456:HRK786457 HRT786456:IBG786457 IBP786456:ILC786457 ILL786456:IUY786457 IVH786456:JEU786457 JFD786456:JOQ786457 JOZ786456:JYM786457 JYV786456:KII786457 KIR786456:KSE786457 KSN786456:LCA786457 LCJ786456:LLW786457 LMF786456:LVS786457 LWB786456:MFO786457 MFX786456:MPK786457 MPT786456:MZG786457 MZP786456:NJC786457 NJL786456:NSY786457 NTH786456:OCU786457 ODD786456:OMQ786457 OMZ786456:OWM786457 OWV786456:PGI786457 PGR786456:PQE786457 PQN786456:QAA786457 QAJ786456:QJW786457 QKF786456:QTS786457 QUB786456:RDO786457 RDX786456:RNK786457 RNT786456:RXG786457 RXP786456:SHC786457 SHL786456:SQY786457 SRH786456:TAU786457 TBD786456:TKQ786457 TKZ786456:TUM786457 TUV786456:UEI786457 UER786456:UOE786457 UON786456:UYA786457 UYJ786456:VHW786457 VIF786456:VRS786457 VSB786456:WBO786457 WBX786456:WLK786457 WLT786456:WVG786457 WVP786456:XFD786457 H851992:IU851993 JD851992:SQ851993 SZ851992:ACM851993 ACV851992:AMI851993 AMR851992:AWE851993 AWN851992:BGA851993 BGJ851992:BPW851993 BQF851992:BZS851993 CAB851992:CJO851993 CJX851992:CTK851993 CTT851992:DDG851993 DDP851992:DNC851993 DNL851992:DWY851993 DXH851992:EGU851993 EHD851992:EQQ851993 EQZ851992:FAM851993 FAV851992:FKI851993 FKR851992:FUE851993 FUN851992:GEA851993 GEJ851992:GNW851993 GOF851992:GXS851993 GYB851992:HHO851993 HHX851992:HRK851993 HRT851992:IBG851993 IBP851992:ILC851993 ILL851992:IUY851993 IVH851992:JEU851993 JFD851992:JOQ851993 JOZ851992:JYM851993 JYV851992:KII851993 KIR851992:KSE851993 KSN851992:LCA851993 LCJ851992:LLW851993 LMF851992:LVS851993 LWB851992:MFO851993 MFX851992:MPK851993 MPT851992:MZG851993 MZP851992:NJC851993 NJL851992:NSY851993 NTH851992:OCU851993 ODD851992:OMQ851993 OMZ851992:OWM851993 OWV851992:PGI851993 PGR851992:PQE851993 PQN851992:QAA851993 QAJ851992:QJW851993 QKF851992:QTS851993 QUB851992:RDO851993 RDX851992:RNK851993 RNT851992:RXG851993 RXP851992:SHC851993 SHL851992:SQY851993 SRH851992:TAU851993 TBD851992:TKQ851993 TKZ851992:TUM851993 TUV851992:UEI851993 UER851992:UOE851993 UON851992:UYA851993 UYJ851992:VHW851993 VIF851992:VRS851993 VSB851992:WBO851993 WBX851992:WLK851993 WLT851992:WVG851993 WVP851992:XFD851993 H917528:IU917529 JD917528:SQ917529 SZ917528:ACM917529 ACV917528:AMI917529 AMR917528:AWE917529 AWN917528:BGA917529 BGJ917528:BPW917529 BQF917528:BZS917529 CAB917528:CJO917529 CJX917528:CTK917529 CTT917528:DDG917529 DDP917528:DNC917529 DNL917528:DWY917529 DXH917528:EGU917529 EHD917528:EQQ917529 EQZ917528:FAM917529 FAV917528:FKI917529 FKR917528:FUE917529 FUN917528:GEA917529 GEJ917528:GNW917529 GOF917528:GXS917529 GYB917528:HHO917529 HHX917528:HRK917529 HRT917528:IBG917529 IBP917528:ILC917529 ILL917528:IUY917529 IVH917528:JEU917529 JFD917528:JOQ917529 JOZ917528:JYM917529 JYV917528:KII917529 KIR917528:KSE917529 KSN917528:LCA917529 LCJ917528:LLW917529 LMF917528:LVS917529 LWB917528:MFO917529 MFX917528:MPK917529 MPT917528:MZG917529 MZP917528:NJC917529 NJL917528:NSY917529 NTH917528:OCU917529 ODD917528:OMQ917529 OMZ917528:OWM917529 OWV917528:PGI917529 PGR917528:PQE917529 PQN917528:QAA917529 QAJ917528:QJW917529 QKF917528:QTS917529 QUB917528:RDO917529 RDX917528:RNK917529 RNT917528:RXG917529 RXP917528:SHC917529 SHL917528:SQY917529 SRH917528:TAU917529 TBD917528:TKQ917529 TKZ917528:TUM917529 TUV917528:UEI917529 UER917528:UOE917529 UON917528:UYA917529 UYJ917528:VHW917529 VIF917528:VRS917529 VSB917528:WBO917529 WBX917528:WLK917529 WLT917528:WVG917529 WVP917528:XFD917529 H983064:IU983065 JD983064:SQ983065 SZ983064:ACM983065 ACV983064:AMI983065 AMR983064:AWE983065 AWN983064:BGA983065 BGJ983064:BPW983065 BQF983064:BZS983065 CAB983064:CJO983065 CJX983064:CTK983065 CTT983064:DDG983065 DDP983064:DNC983065 DNL983064:DWY983065 DXH983064:EGU983065 EHD983064:EQQ983065 EQZ983064:FAM983065 FAV983064:FKI983065 FKR983064:FUE983065 FUN983064:GEA983065 GEJ983064:GNW983065 GOF983064:GXS983065 GYB983064:HHO983065 HHX983064:HRK983065 HRT983064:IBG983065 IBP983064:ILC983065 ILL983064:IUY983065 IVH983064:JEU983065 JFD983064:JOQ983065 JOZ983064:JYM983065 JYV983064:KII983065 KIR983064:KSE983065 KSN983064:LCA983065 LCJ983064:LLW983065 LMF983064:LVS983065 LWB983064:MFO983065 MFX983064:MPK983065 MPT983064:MZG983065 MZP983064:NJC983065 NJL983064:NSY983065 NTH983064:OCU983065 ODD983064:OMQ983065 OMZ983064:OWM983065 OWV983064:PGI983065 PGR983064:PQE983065 PQN983064:QAA983065 QAJ983064:QJW983065 QKF983064:QTS983065 QUB983064:RDO983065 RDX983064:RNK983065 RNT983064:RXG983065 RXP983064:SHC983065 SHL983064:SQY983065 SRH983064:TAU983065 TBD983064:TKQ983065 TKZ983064:TUM983065 TUV983064:UEI983065 UER983064:UOE983065 UON983064:UYA983065 UYJ983064:VHW983065 VIF983064:VRS983065 VSB983064:WBO983065 WBX983064:WLK983065 WLT983064:WVG983065 WVP983064:XFD983065 G31:IU31 JC31:SQ31 SY31:ACM31 ACU31:AMI31 AMQ31:AWE31 AWM31:BGA31 BGI31:BPW31 BQE31:BZS31 CAA31:CJO31 CJW31:CTK31 CTS31:DDG31 DDO31:DNC31 DNK31:DWY31 DXG31:EGU31 EHC31:EQQ31 EQY31:FAM31 FAU31:FKI31 FKQ31:FUE31 FUM31:GEA31 GEI31:GNW31 GOE31:GXS31 GYA31:HHO31 HHW31:HRK31 HRS31:IBG31 IBO31:ILC31 ILK31:IUY31 IVG31:JEU31 JFC31:JOQ31 JOY31:JYM31 JYU31:KII31 KIQ31:KSE31 KSM31:LCA31 LCI31:LLW31 LME31:LVS31 LWA31:MFO31 MFW31:MPK31 MPS31:MZG31 MZO31:NJC31 NJK31:NSY31 NTG31:OCU31 ODC31:OMQ31 OMY31:OWM31 OWU31:PGI31 PGQ31:PQE31 PQM31:QAA31 QAI31:QJW31 QKE31:QTS31 QUA31:RDO31 RDW31:RNK31 RNS31:RXG31 RXO31:SHC31 SHK31:SQY31 SRG31:TAU31 TBC31:TKQ31 TKY31:TUM31 TUU31:UEI31 UEQ31:UOE31 UOM31:UYA31 UYI31:VHW31 VIE31:VRS31 VSA31:WBO31 WBW31:WLK31 WLS31:WVG31 WVO31:XFD31 G65570:IU65570 JC65570:SQ65570 SY65570:ACM65570 ACU65570:AMI65570 AMQ65570:AWE65570 AWM65570:BGA65570 BGI65570:BPW65570 BQE65570:BZS65570 CAA65570:CJO65570 CJW65570:CTK65570 CTS65570:DDG65570 DDO65570:DNC65570 DNK65570:DWY65570 DXG65570:EGU65570 EHC65570:EQQ65570 EQY65570:FAM65570 FAU65570:FKI65570 FKQ65570:FUE65570 FUM65570:GEA65570 GEI65570:GNW65570 GOE65570:GXS65570 GYA65570:HHO65570 HHW65570:HRK65570 HRS65570:IBG65570 IBO65570:ILC65570 ILK65570:IUY65570 IVG65570:JEU65570 JFC65570:JOQ65570 JOY65570:JYM65570 JYU65570:KII65570 KIQ65570:KSE65570 KSM65570:LCA65570 LCI65570:LLW65570 LME65570:LVS65570 LWA65570:MFO65570 MFW65570:MPK65570 MPS65570:MZG65570 MZO65570:NJC65570 NJK65570:NSY65570 NTG65570:OCU65570 ODC65570:OMQ65570 OMY65570:OWM65570 OWU65570:PGI65570 PGQ65570:PQE65570 PQM65570:QAA65570 QAI65570:QJW65570 QKE65570:QTS65570 QUA65570:RDO65570 RDW65570:RNK65570 RNS65570:RXG65570 RXO65570:SHC65570 SHK65570:SQY65570 SRG65570:TAU65570 TBC65570:TKQ65570 TKY65570:TUM65570 TUU65570:UEI65570 UEQ65570:UOE65570 UOM65570:UYA65570 UYI65570:VHW65570 VIE65570:VRS65570 VSA65570:WBO65570 WBW65570:WLK65570 WLS65570:WVG65570 WVO65570:XFD65570 G131106:IU131106 JC131106:SQ131106 SY131106:ACM131106 ACU131106:AMI131106 AMQ131106:AWE131106 AWM131106:BGA131106 BGI131106:BPW131106 BQE131106:BZS131106 CAA131106:CJO131106 CJW131106:CTK131106 CTS131106:DDG131106 DDO131106:DNC131106 DNK131106:DWY131106 DXG131106:EGU131106 EHC131106:EQQ131106 EQY131106:FAM131106 FAU131106:FKI131106 FKQ131106:FUE131106 FUM131106:GEA131106 GEI131106:GNW131106 GOE131106:GXS131106 GYA131106:HHO131106 HHW131106:HRK131106 HRS131106:IBG131106 IBO131106:ILC131106 ILK131106:IUY131106 IVG131106:JEU131106 JFC131106:JOQ131106 JOY131106:JYM131106 JYU131106:KII131106 KIQ131106:KSE131106 KSM131106:LCA131106 LCI131106:LLW131106 LME131106:LVS131106 LWA131106:MFO131106 MFW131106:MPK131106 MPS131106:MZG131106 MZO131106:NJC131106 NJK131106:NSY131106 NTG131106:OCU131106 ODC131106:OMQ131106 OMY131106:OWM131106 OWU131106:PGI131106 PGQ131106:PQE131106 PQM131106:QAA131106 QAI131106:QJW131106 QKE131106:QTS131106 QUA131106:RDO131106 RDW131106:RNK131106 RNS131106:RXG131106 RXO131106:SHC131106 SHK131106:SQY131106 SRG131106:TAU131106 TBC131106:TKQ131106 TKY131106:TUM131106 TUU131106:UEI131106 UEQ131106:UOE131106 UOM131106:UYA131106 UYI131106:VHW131106 VIE131106:VRS131106 VSA131106:WBO131106 WBW131106:WLK131106 WLS131106:WVG131106 WVO131106:XFD131106 G196642:IU196642 JC196642:SQ196642 SY196642:ACM196642 ACU196642:AMI196642 AMQ196642:AWE196642 AWM196642:BGA196642 BGI196642:BPW196642 BQE196642:BZS196642 CAA196642:CJO196642 CJW196642:CTK196642 CTS196642:DDG196642 DDO196642:DNC196642 DNK196642:DWY196642 DXG196642:EGU196642 EHC196642:EQQ196642 EQY196642:FAM196642 FAU196642:FKI196642 FKQ196642:FUE196642 FUM196642:GEA196642 GEI196642:GNW196642 GOE196642:GXS196642 GYA196642:HHO196642 HHW196642:HRK196642 HRS196642:IBG196642 IBO196642:ILC196642 ILK196642:IUY196642 IVG196642:JEU196642 JFC196642:JOQ196642 JOY196642:JYM196642 JYU196642:KII196642 KIQ196642:KSE196642 KSM196642:LCA196642 LCI196642:LLW196642 LME196642:LVS196642 LWA196642:MFO196642 MFW196642:MPK196642 MPS196642:MZG196642 MZO196642:NJC196642 NJK196642:NSY196642 NTG196642:OCU196642 ODC196642:OMQ196642 OMY196642:OWM196642 OWU196642:PGI196642 PGQ196642:PQE196642 PQM196642:QAA196642 QAI196642:QJW196642 QKE196642:QTS196642 QUA196642:RDO196642 RDW196642:RNK196642 RNS196642:RXG196642 RXO196642:SHC196642 SHK196642:SQY196642 SRG196642:TAU196642 TBC196642:TKQ196642 TKY196642:TUM196642 TUU196642:UEI196642 UEQ196642:UOE196642 UOM196642:UYA196642 UYI196642:VHW196642 VIE196642:VRS196642 VSA196642:WBO196642 WBW196642:WLK196642 WLS196642:WVG196642 WVO196642:XFD196642 G262178:IU262178 JC262178:SQ262178 SY262178:ACM262178 ACU262178:AMI262178 AMQ262178:AWE262178 AWM262178:BGA262178 BGI262178:BPW262178 BQE262178:BZS262178 CAA262178:CJO262178 CJW262178:CTK262178 CTS262178:DDG262178 DDO262178:DNC262178 DNK262178:DWY262178 DXG262178:EGU262178 EHC262178:EQQ262178 EQY262178:FAM262178 FAU262178:FKI262178 FKQ262178:FUE262178 FUM262178:GEA262178 GEI262178:GNW262178 GOE262178:GXS262178 GYA262178:HHO262178 HHW262178:HRK262178 HRS262178:IBG262178 IBO262178:ILC262178 ILK262178:IUY262178 IVG262178:JEU262178 JFC262178:JOQ262178 JOY262178:JYM262178 JYU262178:KII262178 KIQ262178:KSE262178 KSM262178:LCA262178 LCI262178:LLW262178 LME262178:LVS262178 LWA262178:MFO262178 MFW262178:MPK262178 MPS262178:MZG262178 MZO262178:NJC262178 NJK262178:NSY262178 NTG262178:OCU262178 ODC262178:OMQ262178 OMY262178:OWM262178 OWU262178:PGI262178 PGQ262178:PQE262178 PQM262178:QAA262178 QAI262178:QJW262178 QKE262178:QTS262178 QUA262178:RDO262178 RDW262178:RNK262178 RNS262178:RXG262178 RXO262178:SHC262178 SHK262178:SQY262178 SRG262178:TAU262178 TBC262178:TKQ262178 TKY262178:TUM262178 TUU262178:UEI262178 UEQ262178:UOE262178 UOM262178:UYA262178 UYI262178:VHW262178 VIE262178:VRS262178 VSA262178:WBO262178 WBW262178:WLK262178 WLS262178:WVG262178 WVO262178:XFD262178 G327714:IU327714 JC327714:SQ327714 SY327714:ACM327714 ACU327714:AMI327714 AMQ327714:AWE327714 AWM327714:BGA327714 BGI327714:BPW327714 BQE327714:BZS327714 CAA327714:CJO327714 CJW327714:CTK327714 CTS327714:DDG327714 DDO327714:DNC327714 DNK327714:DWY327714 DXG327714:EGU327714 EHC327714:EQQ327714 EQY327714:FAM327714 FAU327714:FKI327714 FKQ327714:FUE327714 FUM327714:GEA327714 GEI327714:GNW327714 GOE327714:GXS327714 GYA327714:HHO327714 HHW327714:HRK327714 HRS327714:IBG327714 IBO327714:ILC327714 ILK327714:IUY327714 IVG327714:JEU327714 JFC327714:JOQ327714 JOY327714:JYM327714 JYU327714:KII327714 KIQ327714:KSE327714 KSM327714:LCA327714 LCI327714:LLW327714 LME327714:LVS327714 LWA327714:MFO327714 MFW327714:MPK327714 MPS327714:MZG327714 MZO327714:NJC327714 NJK327714:NSY327714 NTG327714:OCU327714 ODC327714:OMQ327714 OMY327714:OWM327714 OWU327714:PGI327714 PGQ327714:PQE327714 PQM327714:QAA327714 QAI327714:QJW327714 QKE327714:QTS327714 QUA327714:RDO327714 RDW327714:RNK327714 RNS327714:RXG327714 RXO327714:SHC327714 SHK327714:SQY327714 SRG327714:TAU327714 TBC327714:TKQ327714 TKY327714:TUM327714 TUU327714:UEI327714 UEQ327714:UOE327714 UOM327714:UYA327714 UYI327714:VHW327714 VIE327714:VRS327714 VSA327714:WBO327714 WBW327714:WLK327714 WLS327714:WVG327714 WVO327714:XFD327714 G393250:IU393250 JC393250:SQ393250 SY393250:ACM393250 ACU393250:AMI393250 AMQ393250:AWE393250 AWM393250:BGA393250 BGI393250:BPW393250 BQE393250:BZS393250 CAA393250:CJO393250 CJW393250:CTK393250 CTS393250:DDG393250 DDO393250:DNC393250 DNK393250:DWY393250 DXG393250:EGU393250 EHC393250:EQQ393250 EQY393250:FAM393250 FAU393250:FKI393250 FKQ393250:FUE393250 FUM393250:GEA393250 GEI393250:GNW393250 GOE393250:GXS393250 GYA393250:HHO393250 HHW393250:HRK393250 HRS393250:IBG393250 IBO393250:ILC393250 ILK393250:IUY393250 IVG393250:JEU393250 JFC393250:JOQ393250 JOY393250:JYM393250 JYU393250:KII393250 KIQ393250:KSE393250 KSM393250:LCA393250 LCI393250:LLW393250 LME393250:LVS393250 LWA393250:MFO393250 MFW393250:MPK393250 MPS393250:MZG393250 MZO393250:NJC393250 NJK393250:NSY393250 NTG393250:OCU393250 ODC393250:OMQ393250 OMY393250:OWM393250 OWU393250:PGI393250 PGQ393250:PQE393250 PQM393250:QAA393250 QAI393250:QJW393250 QKE393250:QTS393250 QUA393250:RDO393250 RDW393250:RNK393250 RNS393250:RXG393250 RXO393250:SHC393250 SHK393250:SQY393250 SRG393250:TAU393250 TBC393250:TKQ393250 TKY393250:TUM393250 TUU393250:UEI393250 UEQ393250:UOE393250 UOM393250:UYA393250 UYI393250:VHW393250 VIE393250:VRS393250 VSA393250:WBO393250 WBW393250:WLK393250 WLS393250:WVG393250 WVO393250:XFD393250 G458786:IU458786 JC458786:SQ458786 SY458786:ACM458786 ACU458786:AMI458786 AMQ458786:AWE458786 AWM458786:BGA458786 BGI458786:BPW458786 BQE458786:BZS458786 CAA458786:CJO458786 CJW458786:CTK458786 CTS458786:DDG458786 DDO458786:DNC458786 DNK458786:DWY458786 DXG458786:EGU458786 EHC458786:EQQ458786 EQY458786:FAM458786 FAU458786:FKI458786 FKQ458786:FUE458786 FUM458786:GEA458786 GEI458786:GNW458786 GOE458786:GXS458786 GYA458786:HHO458786 HHW458786:HRK458786 HRS458786:IBG458786 IBO458786:ILC458786 ILK458786:IUY458786 IVG458786:JEU458786 JFC458786:JOQ458786 JOY458786:JYM458786 JYU458786:KII458786 KIQ458786:KSE458786 KSM458786:LCA458786 LCI458786:LLW458786 LME458786:LVS458786 LWA458786:MFO458786 MFW458786:MPK458786 MPS458786:MZG458786 MZO458786:NJC458786 NJK458786:NSY458786 NTG458786:OCU458786 ODC458786:OMQ458786 OMY458786:OWM458786 OWU458786:PGI458786 PGQ458786:PQE458786 PQM458786:QAA458786 QAI458786:QJW458786 QKE458786:QTS458786 QUA458786:RDO458786 RDW458786:RNK458786 RNS458786:RXG458786 RXO458786:SHC458786 SHK458786:SQY458786 SRG458786:TAU458786 TBC458786:TKQ458786 TKY458786:TUM458786 TUU458786:UEI458786 UEQ458786:UOE458786 UOM458786:UYA458786 UYI458786:VHW458786 VIE458786:VRS458786 VSA458786:WBO458786 WBW458786:WLK458786 WLS458786:WVG458786 WVO458786:XFD458786 G524322:IU524322 JC524322:SQ524322 SY524322:ACM524322 ACU524322:AMI524322 AMQ524322:AWE524322 AWM524322:BGA524322 BGI524322:BPW524322 BQE524322:BZS524322 CAA524322:CJO524322 CJW524322:CTK524322 CTS524322:DDG524322 DDO524322:DNC524322 DNK524322:DWY524322 DXG524322:EGU524322 EHC524322:EQQ524322 EQY524322:FAM524322 FAU524322:FKI524322 FKQ524322:FUE524322 FUM524322:GEA524322 GEI524322:GNW524322 GOE524322:GXS524322 GYA524322:HHO524322 HHW524322:HRK524322 HRS524322:IBG524322 IBO524322:ILC524322 ILK524322:IUY524322 IVG524322:JEU524322 JFC524322:JOQ524322 JOY524322:JYM524322 JYU524322:KII524322 KIQ524322:KSE524322 KSM524322:LCA524322 LCI524322:LLW524322 LME524322:LVS524322 LWA524322:MFO524322 MFW524322:MPK524322 MPS524322:MZG524322 MZO524322:NJC524322 NJK524322:NSY524322 NTG524322:OCU524322 ODC524322:OMQ524322 OMY524322:OWM524322 OWU524322:PGI524322 PGQ524322:PQE524322 PQM524322:QAA524322 QAI524322:QJW524322 QKE524322:QTS524322 QUA524322:RDO524322 RDW524322:RNK524322 RNS524322:RXG524322 RXO524322:SHC524322 SHK524322:SQY524322 SRG524322:TAU524322 TBC524322:TKQ524322 TKY524322:TUM524322 TUU524322:UEI524322 UEQ524322:UOE524322 UOM524322:UYA524322 UYI524322:VHW524322 VIE524322:VRS524322 VSA524322:WBO524322 WBW524322:WLK524322 WLS524322:WVG524322 WVO524322:XFD524322 G589858:IU589858 JC589858:SQ589858 SY589858:ACM589858 ACU589858:AMI589858 AMQ589858:AWE589858 AWM589858:BGA589858 BGI589858:BPW589858 BQE589858:BZS589858 CAA589858:CJO589858 CJW589858:CTK589858 CTS589858:DDG589858 DDO589858:DNC589858 DNK589858:DWY589858 DXG589858:EGU589858 EHC589858:EQQ589858 EQY589858:FAM589858 FAU589858:FKI589858 FKQ589858:FUE589858 FUM589858:GEA589858 GEI589858:GNW589858 GOE589858:GXS589858 GYA589858:HHO589858 HHW589858:HRK589858 HRS589858:IBG589858 IBO589858:ILC589858 ILK589858:IUY589858 IVG589858:JEU589858 JFC589858:JOQ589858 JOY589858:JYM589858 JYU589858:KII589858 KIQ589858:KSE589858 KSM589858:LCA589858 LCI589858:LLW589858 LME589858:LVS589858 LWA589858:MFO589858 MFW589858:MPK589858 MPS589858:MZG589858 MZO589858:NJC589858 NJK589858:NSY589858 NTG589858:OCU589858 ODC589858:OMQ589858 OMY589858:OWM589858 OWU589858:PGI589858 PGQ589858:PQE589858 PQM589858:QAA589858 QAI589858:QJW589858 QKE589858:QTS589858 QUA589858:RDO589858 RDW589858:RNK589858 RNS589858:RXG589858 RXO589858:SHC589858 SHK589858:SQY589858 SRG589858:TAU589858 TBC589858:TKQ589858 TKY589858:TUM589858 TUU589858:UEI589858 UEQ589858:UOE589858 UOM589858:UYA589858 UYI589858:VHW589858 VIE589858:VRS589858 VSA589858:WBO589858 WBW589858:WLK589858 WLS589858:WVG589858 WVO589858:XFD589858 G655394:IU655394 JC655394:SQ655394 SY655394:ACM655394 ACU655394:AMI655394 AMQ655394:AWE655394 AWM655394:BGA655394 BGI655394:BPW655394 BQE655394:BZS655394 CAA655394:CJO655394 CJW655394:CTK655394 CTS655394:DDG655394 DDO655394:DNC655394 DNK655394:DWY655394 DXG655394:EGU655394 EHC655394:EQQ655394 EQY655394:FAM655394 FAU655394:FKI655394 FKQ655394:FUE655394 FUM655394:GEA655394 GEI655394:GNW655394 GOE655394:GXS655394 GYA655394:HHO655394 HHW655394:HRK655394 HRS655394:IBG655394 IBO655394:ILC655394 ILK655394:IUY655394 IVG655394:JEU655394 JFC655394:JOQ655394 JOY655394:JYM655394 JYU655394:KII655394 KIQ655394:KSE655394 KSM655394:LCA655394 LCI655394:LLW655394 LME655394:LVS655394 LWA655394:MFO655394 MFW655394:MPK655394 MPS655394:MZG655394 MZO655394:NJC655394 NJK655394:NSY655394 NTG655394:OCU655394 ODC655394:OMQ655394 OMY655394:OWM655394 OWU655394:PGI655394 PGQ655394:PQE655394 PQM655394:QAA655394 QAI655394:QJW655394 QKE655394:QTS655394 QUA655394:RDO655394 RDW655394:RNK655394 RNS655394:RXG655394 RXO655394:SHC655394 SHK655394:SQY655394 SRG655394:TAU655394 TBC655394:TKQ655394 TKY655394:TUM655394 TUU655394:UEI655394 UEQ655394:UOE655394 UOM655394:UYA655394 UYI655394:VHW655394 VIE655394:VRS655394 VSA655394:WBO655394 WBW655394:WLK655394 WLS655394:WVG655394 WVO655394:XFD655394 G720930:IU720930 JC720930:SQ720930 SY720930:ACM720930 ACU720930:AMI720930 AMQ720930:AWE720930 AWM720930:BGA720930 BGI720930:BPW720930 BQE720930:BZS720930 CAA720930:CJO720930 CJW720930:CTK720930 CTS720930:DDG720930 DDO720930:DNC720930 DNK720930:DWY720930 DXG720930:EGU720930 EHC720930:EQQ720930 EQY720930:FAM720930 FAU720930:FKI720930 FKQ720930:FUE720930 FUM720930:GEA720930 GEI720930:GNW720930 GOE720930:GXS720930 GYA720930:HHO720930 HHW720930:HRK720930 HRS720930:IBG720930 IBO720930:ILC720930 ILK720930:IUY720930 IVG720930:JEU720930 JFC720930:JOQ720930 JOY720930:JYM720930 JYU720930:KII720930 KIQ720930:KSE720930 KSM720930:LCA720930 LCI720930:LLW720930 LME720930:LVS720930 LWA720930:MFO720930 MFW720930:MPK720930 MPS720930:MZG720930 MZO720930:NJC720930 NJK720930:NSY720930 NTG720930:OCU720930 ODC720930:OMQ720930 OMY720930:OWM720930 OWU720930:PGI720930 PGQ720930:PQE720930 PQM720930:QAA720930 QAI720930:QJW720930 QKE720930:QTS720930 QUA720930:RDO720930 RDW720930:RNK720930 RNS720930:RXG720930 RXO720930:SHC720930 SHK720930:SQY720930 SRG720930:TAU720930 TBC720930:TKQ720930 TKY720930:TUM720930 TUU720930:UEI720930 UEQ720930:UOE720930 UOM720930:UYA720930 UYI720930:VHW720930 VIE720930:VRS720930 VSA720930:WBO720930 WBW720930:WLK720930 WLS720930:WVG720930 WVO720930:XFD720930 G786466:IU786466 JC786466:SQ786466 SY786466:ACM786466 ACU786466:AMI786466 AMQ786466:AWE786466 AWM786466:BGA786466 BGI786466:BPW786466 BQE786466:BZS786466 CAA786466:CJO786466 CJW786466:CTK786466 CTS786466:DDG786466 DDO786466:DNC786466 DNK786466:DWY786466 DXG786466:EGU786466 EHC786466:EQQ786466 EQY786466:FAM786466 FAU786466:FKI786466 FKQ786466:FUE786466 FUM786466:GEA786466 GEI786466:GNW786466 GOE786466:GXS786466 GYA786466:HHO786466 HHW786466:HRK786466 HRS786466:IBG786466 IBO786466:ILC786466 ILK786466:IUY786466 IVG786466:JEU786466 JFC786466:JOQ786466 JOY786466:JYM786466 JYU786466:KII786466 KIQ786466:KSE786466 KSM786466:LCA786466 LCI786466:LLW786466 LME786466:LVS786466 LWA786466:MFO786466 MFW786466:MPK786466 MPS786466:MZG786466 MZO786466:NJC786466 NJK786466:NSY786466 NTG786466:OCU786466 ODC786466:OMQ786466 OMY786466:OWM786466 OWU786466:PGI786466 PGQ786466:PQE786466 PQM786466:QAA786466 QAI786466:QJW786466 QKE786466:QTS786466 QUA786466:RDO786466 RDW786466:RNK786466 RNS786466:RXG786466 RXO786466:SHC786466 SHK786466:SQY786466 SRG786466:TAU786466 TBC786466:TKQ786466 TKY786466:TUM786466 TUU786466:UEI786466 UEQ786466:UOE786466 UOM786466:UYA786466 UYI786466:VHW786466 VIE786466:VRS786466 VSA786466:WBO786466 WBW786466:WLK786466 WLS786466:WVG786466 WVO786466:XFD786466 G852002:IU852002 JC852002:SQ852002 SY852002:ACM852002 ACU852002:AMI852002 AMQ852002:AWE852002 AWM852002:BGA852002 BGI852002:BPW852002 BQE852002:BZS852002 CAA852002:CJO852002 CJW852002:CTK852002 CTS852002:DDG852002 DDO852002:DNC852002 DNK852002:DWY852002 DXG852002:EGU852002 EHC852002:EQQ852002 EQY852002:FAM852002 FAU852002:FKI852002 FKQ852002:FUE852002 FUM852002:GEA852002 GEI852002:GNW852002 GOE852002:GXS852002 GYA852002:HHO852002 HHW852002:HRK852002 HRS852002:IBG852002 IBO852002:ILC852002 ILK852002:IUY852002 IVG852002:JEU852002 JFC852002:JOQ852002 JOY852002:JYM852002 JYU852002:KII852002 KIQ852002:KSE852002 KSM852002:LCA852002 LCI852002:LLW852002 LME852002:LVS852002 LWA852002:MFO852002 MFW852002:MPK852002 MPS852002:MZG852002 MZO852002:NJC852002 NJK852002:NSY852002 NTG852002:OCU852002 ODC852002:OMQ852002 OMY852002:OWM852002 OWU852002:PGI852002 PGQ852002:PQE852002 PQM852002:QAA852002 QAI852002:QJW852002 QKE852002:QTS852002 QUA852002:RDO852002 RDW852002:RNK852002 RNS852002:RXG852002 RXO852002:SHC852002 SHK852002:SQY852002 SRG852002:TAU852002 TBC852002:TKQ852002 TKY852002:TUM852002 TUU852002:UEI852002 UEQ852002:UOE852002 UOM852002:UYA852002 UYI852002:VHW852002 VIE852002:VRS852002 VSA852002:WBO852002 WBW852002:WLK852002 WLS852002:WVG852002 WVO852002:XFD852002 G917538:IU917538 JC917538:SQ917538 SY917538:ACM917538 ACU917538:AMI917538 AMQ917538:AWE917538 AWM917538:BGA917538 BGI917538:BPW917538 BQE917538:BZS917538 CAA917538:CJO917538 CJW917538:CTK917538 CTS917538:DDG917538 DDO917538:DNC917538 DNK917538:DWY917538 DXG917538:EGU917538 EHC917538:EQQ917538 EQY917538:FAM917538 FAU917538:FKI917538 FKQ917538:FUE917538 FUM917538:GEA917538 GEI917538:GNW917538 GOE917538:GXS917538 GYA917538:HHO917538 HHW917538:HRK917538 HRS917538:IBG917538 IBO917538:ILC917538 ILK917538:IUY917538 IVG917538:JEU917538 JFC917538:JOQ917538 JOY917538:JYM917538 JYU917538:KII917538 KIQ917538:KSE917538 KSM917538:LCA917538 LCI917538:LLW917538 LME917538:LVS917538 LWA917538:MFO917538 MFW917538:MPK917538 MPS917538:MZG917538 MZO917538:NJC917538 NJK917538:NSY917538 NTG917538:OCU917538 ODC917538:OMQ917538 OMY917538:OWM917538 OWU917538:PGI917538 PGQ917538:PQE917538 PQM917538:QAA917538 QAI917538:QJW917538 QKE917538:QTS917538 QUA917538:RDO917538 RDW917538:RNK917538 RNS917538:RXG917538 RXO917538:SHC917538 SHK917538:SQY917538 SRG917538:TAU917538 TBC917538:TKQ917538 TKY917538:TUM917538 TUU917538:UEI917538 UEQ917538:UOE917538 UOM917538:UYA917538 UYI917538:VHW917538 VIE917538:VRS917538 VSA917538:WBO917538 WBW917538:WLK917538 WLS917538:WVG917538 WVO917538:XFD917538 G983074:IU983074 JC983074:SQ983074 SY983074:ACM983074 ACU983074:AMI983074 AMQ983074:AWE983074 AWM983074:BGA983074 BGI983074:BPW983074 BQE983074:BZS983074 CAA983074:CJO983074 CJW983074:CTK983074 CTS983074:DDG983074 DDO983074:DNC983074 DNK983074:DWY983074 DXG983074:EGU983074 EHC983074:EQQ983074 EQY983074:FAM983074 FAU983074:FKI983074 FKQ983074:FUE983074 FUM983074:GEA983074 GEI983074:GNW983074 GOE983074:GXS983074 GYA983074:HHO983074 HHW983074:HRK983074 HRS983074:IBG983074 IBO983074:ILC983074 ILK983074:IUY983074 IVG983074:JEU983074 JFC983074:JOQ983074 JOY983074:JYM983074 JYU983074:KII983074 KIQ983074:KSE983074 KSM983074:LCA983074 LCI983074:LLW983074 LME983074:LVS983074 LWA983074:MFO983074 MFW983074:MPK983074 MPS983074:MZG983074 MZO983074:NJC983074 NJK983074:NSY983074 NTG983074:OCU983074 ODC983074:OMQ983074 OMY983074:OWM983074 OWU983074:PGI983074 PGQ983074:PQE983074 PQM983074:QAA983074 QAI983074:QJW983074 QKE983074:QTS983074 QUA983074:RDO983074 RDW983074:RNK983074 RNS983074:RXG983074 RXO983074:SHC983074 SHK983074:SQY983074 SRG983074:TAU983074 TBC983074:TKQ983074 TKY983074:TUM983074 TUU983074:UEI983074 UEQ983074:UOE983074 UOM983074:UYA983074 UYI983074:VHW983074 VIE983074:VRS983074 VSA983074:WBO983074 WBW983074:WLK983074 WLS983074:WVG983074 WVO983074:XFD983074 IV24:IY24 SR24:SU24 ACN24:ACQ24 AMJ24:AMM24 AWF24:AWI24 BGB24:BGE24 BPX24:BQA24 BZT24:BZW24 CJP24:CJS24 CTL24:CTO24 DDH24:DDK24 DND24:DNG24 DWZ24:DXC24 EGV24:EGY24 EQR24:EQU24 FAN24:FAQ24 FKJ24:FKM24 FUF24:FUI24 GEB24:GEE24 GNX24:GOA24 GXT24:GXW24 HHP24:HHS24 HRL24:HRO24 IBH24:IBK24 ILD24:ILG24 IUZ24:IVC24 JEV24:JEY24 JOR24:JOU24 JYN24:JYQ24 KIJ24:KIM24 KSF24:KSI24 LCB24:LCE24 LLX24:LMA24 LVT24:LVW24 MFP24:MFS24 MPL24:MPO24 MZH24:MZK24 NJD24:NJG24 NSZ24:NTC24 OCV24:OCY24 OMR24:OMU24 OWN24:OWQ24 PGJ24:PGM24 PQF24:PQI24 QAB24:QAE24 QJX24:QKA24 QTT24:QTW24 RDP24:RDS24 RNL24:RNO24 RXH24:RXK24 SHD24:SHG24 SQZ24:SRC24 TAV24:TAY24 TKR24:TKU24 TUN24:TUQ24 UEJ24:UEM24 UOF24:UOI24 UYB24:UYE24 VHX24:VIA24 VRT24:VRW24 WBP24:WBS24 WLL24:WLO24 WVH24:WVK24 IV65559:IY65559 SR65559:SU65559 ACN65559:ACQ65559 AMJ65559:AMM65559 AWF65559:AWI65559 BGB65559:BGE65559 BPX65559:BQA65559 BZT65559:BZW65559 CJP65559:CJS65559 CTL65559:CTO65559 DDH65559:DDK65559 DND65559:DNG65559 DWZ65559:DXC65559 EGV65559:EGY65559 EQR65559:EQU65559 FAN65559:FAQ65559 FKJ65559:FKM65559 FUF65559:FUI65559 GEB65559:GEE65559 GNX65559:GOA65559 GXT65559:GXW65559 HHP65559:HHS65559 HRL65559:HRO65559 IBH65559:IBK65559 ILD65559:ILG65559 IUZ65559:IVC65559 JEV65559:JEY65559 JOR65559:JOU65559 JYN65559:JYQ65559 KIJ65559:KIM65559 KSF65559:KSI65559 LCB65559:LCE65559 LLX65559:LMA65559 LVT65559:LVW65559 MFP65559:MFS65559 MPL65559:MPO65559 MZH65559:MZK65559 NJD65559:NJG65559 NSZ65559:NTC65559 OCV65559:OCY65559 OMR65559:OMU65559 OWN65559:OWQ65559 PGJ65559:PGM65559 PQF65559:PQI65559 QAB65559:QAE65559 QJX65559:QKA65559 QTT65559:QTW65559 RDP65559:RDS65559 RNL65559:RNO65559 RXH65559:RXK65559 SHD65559:SHG65559 SQZ65559:SRC65559 TAV65559:TAY65559 TKR65559:TKU65559 TUN65559:TUQ65559 UEJ65559:UEM65559 UOF65559:UOI65559 UYB65559:UYE65559 VHX65559:VIA65559 VRT65559:VRW65559 WBP65559:WBS65559 WLL65559:WLO65559 WVH65559:WVK65559 IV131095:IY131095 SR131095:SU131095 ACN131095:ACQ131095 AMJ131095:AMM131095 AWF131095:AWI131095 BGB131095:BGE131095 BPX131095:BQA131095 BZT131095:BZW131095 CJP131095:CJS131095 CTL131095:CTO131095 DDH131095:DDK131095 DND131095:DNG131095 DWZ131095:DXC131095 EGV131095:EGY131095 EQR131095:EQU131095 FAN131095:FAQ131095 FKJ131095:FKM131095 FUF131095:FUI131095 GEB131095:GEE131095 GNX131095:GOA131095 GXT131095:GXW131095 HHP131095:HHS131095 HRL131095:HRO131095 IBH131095:IBK131095 ILD131095:ILG131095 IUZ131095:IVC131095 JEV131095:JEY131095 JOR131095:JOU131095 JYN131095:JYQ131095 KIJ131095:KIM131095 KSF131095:KSI131095 LCB131095:LCE131095 LLX131095:LMA131095 LVT131095:LVW131095 MFP131095:MFS131095 MPL131095:MPO131095 MZH131095:MZK131095 NJD131095:NJG131095 NSZ131095:NTC131095 OCV131095:OCY131095 OMR131095:OMU131095 OWN131095:OWQ131095 PGJ131095:PGM131095 PQF131095:PQI131095 QAB131095:QAE131095 QJX131095:QKA131095 QTT131095:QTW131095 RDP131095:RDS131095 RNL131095:RNO131095 RXH131095:RXK131095 SHD131095:SHG131095 SQZ131095:SRC131095 TAV131095:TAY131095 TKR131095:TKU131095 TUN131095:TUQ131095 UEJ131095:UEM131095 UOF131095:UOI131095 UYB131095:UYE131095 VHX131095:VIA131095 VRT131095:VRW131095 WBP131095:WBS131095 WLL131095:WLO131095 WVH131095:WVK131095 IV196631:IY196631 SR196631:SU196631 ACN196631:ACQ196631 AMJ196631:AMM196631 AWF196631:AWI196631 BGB196631:BGE196631 BPX196631:BQA196631 BZT196631:BZW196631 CJP196631:CJS196631 CTL196631:CTO196631 DDH196631:DDK196631 DND196631:DNG196631 DWZ196631:DXC196631 EGV196631:EGY196631 EQR196631:EQU196631 FAN196631:FAQ196631 FKJ196631:FKM196631 FUF196631:FUI196631 GEB196631:GEE196631 GNX196631:GOA196631 GXT196631:GXW196631 HHP196631:HHS196631 HRL196631:HRO196631 IBH196631:IBK196631 ILD196631:ILG196631 IUZ196631:IVC196631 JEV196631:JEY196631 JOR196631:JOU196631 JYN196631:JYQ196631 KIJ196631:KIM196631 KSF196631:KSI196631 LCB196631:LCE196631 LLX196631:LMA196631 LVT196631:LVW196631 MFP196631:MFS196631 MPL196631:MPO196631 MZH196631:MZK196631 NJD196631:NJG196631 NSZ196631:NTC196631 OCV196631:OCY196631 OMR196631:OMU196631 OWN196631:OWQ196631 PGJ196631:PGM196631 PQF196631:PQI196631 QAB196631:QAE196631 QJX196631:QKA196631 QTT196631:QTW196631 RDP196631:RDS196631 RNL196631:RNO196631 RXH196631:RXK196631 SHD196631:SHG196631 SQZ196631:SRC196631 TAV196631:TAY196631 TKR196631:TKU196631 TUN196631:TUQ196631 UEJ196631:UEM196631 UOF196631:UOI196631 UYB196631:UYE196631 VHX196631:VIA196631 VRT196631:VRW196631 WBP196631:WBS196631 WLL196631:WLO196631 WVH196631:WVK196631 IV262167:IY262167 SR262167:SU262167 ACN262167:ACQ262167 AMJ262167:AMM262167 AWF262167:AWI262167 BGB262167:BGE262167 BPX262167:BQA262167 BZT262167:BZW262167 CJP262167:CJS262167 CTL262167:CTO262167 DDH262167:DDK262167 DND262167:DNG262167 DWZ262167:DXC262167 EGV262167:EGY262167 EQR262167:EQU262167 FAN262167:FAQ262167 FKJ262167:FKM262167 FUF262167:FUI262167 GEB262167:GEE262167 GNX262167:GOA262167 GXT262167:GXW262167 HHP262167:HHS262167 HRL262167:HRO262167 IBH262167:IBK262167 ILD262167:ILG262167 IUZ262167:IVC262167 JEV262167:JEY262167 JOR262167:JOU262167 JYN262167:JYQ262167 KIJ262167:KIM262167 KSF262167:KSI262167 LCB262167:LCE262167 LLX262167:LMA262167 LVT262167:LVW262167 MFP262167:MFS262167 MPL262167:MPO262167 MZH262167:MZK262167 NJD262167:NJG262167 NSZ262167:NTC262167 OCV262167:OCY262167 OMR262167:OMU262167 OWN262167:OWQ262167 PGJ262167:PGM262167 PQF262167:PQI262167 QAB262167:QAE262167 QJX262167:QKA262167 QTT262167:QTW262167 RDP262167:RDS262167 RNL262167:RNO262167 RXH262167:RXK262167 SHD262167:SHG262167 SQZ262167:SRC262167 TAV262167:TAY262167 TKR262167:TKU262167 TUN262167:TUQ262167 UEJ262167:UEM262167 UOF262167:UOI262167 UYB262167:UYE262167 VHX262167:VIA262167 VRT262167:VRW262167 WBP262167:WBS262167 WLL262167:WLO262167 WVH262167:WVK262167 IV327703:IY327703 SR327703:SU327703 ACN327703:ACQ327703 AMJ327703:AMM327703 AWF327703:AWI327703 BGB327703:BGE327703 BPX327703:BQA327703 BZT327703:BZW327703 CJP327703:CJS327703 CTL327703:CTO327703 DDH327703:DDK327703 DND327703:DNG327703 DWZ327703:DXC327703 EGV327703:EGY327703 EQR327703:EQU327703 FAN327703:FAQ327703 FKJ327703:FKM327703 FUF327703:FUI327703 GEB327703:GEE327703 GNX327703:GOA327703 GXT327703:GXW327703 HHP327703:HHS327703 HRL327703:HRO327703 IBH327703:IBK327703 ILD327703:ILG327703 IUZ327703:IVC327703 JEV327703:JEY327703 JOR327703:JOU327703 JYN327703:JYQ327703 KIJ327703:KIM327703 KSF327703:KSI327703 LCB327703:LCE327703 LLX327703:LMA327703 LVT327703:LVW327703 MFP327703:MFS327703 MPL327703:MPO327703 MZH327703:MZK327703 NJD327703:NJG327703 NSZ327703:NTC327703 OCV327703:OCY327703 OMR327703:OMU327703 OWN327703:OWQ327703 PGJ327703:PGM327703 PQF327703:PQI327703 QAB327703:QAE327703 QJX327703:QKA327703 QTT327703:QTW327703 RDP327703:RDS327703 RNL327703:RNO327703 RXH327703:RXK327703 SHD327703:SHG327703 SQZ327703:SRC327703 TAV327703:TAY327703 TKR327703:TKU327703 TUN327703:TUQ327703 UEJ327703:UEM327703 UOF327703:UOI327703 UYB327703:UYE327703 VHX327703:VIA327703 VRT327703:VRW327703 WBP327703:WBS327703 WLL327703:WLO327703 WVH327703:WVK327703 IV393239:IY393239 SR393239:SU393239 ACN393239:ACQ393239 AMJ393239:AMM393239 AWF393239:AWI393239 BGB393239:BGE393239 BPX393239:BQA393239 BZT393239:BZW393239 CJP393239:CJS393239 CTL393239:CTO393239 DDH393239:DDK393239 DND393239:DNG393239 DWZ393239:DXC393239 EGV393239:EGY393239 EQR393239:EQU393239 FAN393239:FAQ393239 FKJ393239:FKM393239 FUF393239:FUI393239 GEB393239:GEE393239 GNX393239:GOA393239 GXT393239:GXW393239 HHP393239:HHS393239 HRL393239:HRO393239 IBH393239:IBK393239 ILD393239:ILG393239 IUZ393239:IVC393239 JEV393239:JEY393239 JOR393239:JOU393239 JYN393239:JYQ393239 KIJ393239:KIM393239 KSF393239:KSI393239 LCB393239:LCE393239 LLX393239:LMA393239 LVT393239:LVW393239 MFP393239:MFS393239 MPL393239:MPO393239 MZH393239:MZK393239 NJD393239:NJG393239 NSZ393239:NTC393239 OCV393239:OCY393239 OMR393239:OMU393239 OWN393239:OWQ393239 PGJ393239:PGM393239 PQF393239:PQI393239 QAB393239:QAE393239 QJX393239:QKA393239 QTT393239:QTW393239 RDP393239:RDS393239 RNL393239:RNO393239 RXH393239:RXK393239 SHD393239:SHG393239 SQZ393239:SRC393239 TAV393239:TAY393239 TKR393239:TKU393239 TUN393239:TUQ393239 UEJ393239:UEM393239 UOF393239:UOI393239 UYB393239:UYE393239 VHX393239:VIA393239 VRT393239:VRW393239 WBP393239:WBS393239 WLL393239:WLO393239 WVH393239:WVK393239 IV458775:IY458775 SR458775:SU458775 ACN458775:ACQ458775 AMJ458775:AMM458775 AWF458775:AWI458775 BGB458775:BGE458775 BPX458775:BQA458775 BZT458775:BZW458775 CJP458775:CJS458775 CTL458775:CTO458775 DDH458775:DDK458775 DND458775:DNG458775 DWZ458775:DXC458775 EGV458775:EGY458775 EQR458775:EQU458775 FAN458775:FAQ458775 FKJ458775:FKM458775 FUF458775:FUI458775 GEB458775:GEE458775 GNX458775:GOA458775 GXT458775:GXW458775 HHP458775:HHS458775 HRL458775:HRO458775 IBH458775:IBK458775 ILD458775:ILG458775 IUZ458775:IVC458775 JEV458775:JEY458775 JOR458775:JOU458775 JYN458775:JYQ458775 KIJ458775:KIM458775 KSF458775:KSI458775 LCB458775:LCE458775 LLX458775:LMA458775 LVT458775:LVW458775 MFP458775:MFS458775 MPL458775:MPO458775 MZH458775:MZK458775 NJD458775:NJG458775 NSZ458775:NTC458775 OCV458775:OCY458775 OMR458775:OMU458775 OWN458775:OWQ458775 PGJ458775:PGM458775 PQF458775:PQI458775 QAB458775:QAE458775 QJX458775:QKA458775 QTT458775:QTW458775 RDP458775:RDS458775 RNL458775:RNO458775 RXH458775:RXK458775 SHD458775:SHG458775 SQZ458775:SRC458775 TAV458775:TAY458775 TKR458775:TKU458775 TUN458775:TUQ458775 UEJ458775:UEM458775 UOF458775:UOI458775 UYB458775:UYE458775 VHX458775:VIA458775 VRT458775:VRW458775 WBP458775:WBS458775 WLL458775:WLO458775 WVH458775:WVK458775 IV524311:IY524311 SR524311:SU524311 ACN524311:ACQ524311 AMJ524311:AMM524311 AWF524311:AWI524311 BGB524311:BGE524311 BPX524311:BQA524311 BZT524311:BZW524311 CJP524311:CJS524311 CTL524311:CTO524311 DDH524311:DDK524311 DND524311:DNG524311 DWZ524311:DXC524311 EGV524311:EGY524311 EQR524311:EQU524311 FAN524311:FAQ524311 FKJ524311:FKM524311 FUF524311:FUI524311 GEB524311:GEE524311 GNX524311:GOA524311 GXT524311:GXW524311 HHP524311:HHS524311 HRL524311:HRO524311 IBH524311:IBK524311 ILD524311:ILG524311 IUZ524311:IVC524311 JEV524311:JEY524311 JOR524311:JOU524311 JYN524311:JYQ524311 KIJ524311:KIM524311 KSF524311:KSI524311 LCB524311:LCE524311 LLX524311:LMA524311 LVT524311:LVW524311 MFP524311:MFS524311 MPL524311:MPO524311 MZH524311:MZK524311 NJD524311:NJG524311 NSZ524311:NTC524311 OCV524311:OCY524311 OMR524311:OMU524311 OWN524311:OWQ524311 PGJ524311:PGM524311 PQF524311:PQI524311 QAB524311:QAE524311 QJX524311:QKA524311 QTT524311:QTW524311 RDP524311:RDS524311 RNL524311:RNO524311 RXH524311:RXK524311 SHD524311:SHG524311 SQZ524311:SRC524311 TAV524311:TAY524311 TKR524311:TKU524311 TUN524311:TUQ524311 UEJ524311:UEM524311 UOF524311:UOI524311 UYB524311:UYE524311 VHX524311:VIA524311 VRT524311:VRW524311 WBP524311:WBS524311 WLL524311:WLO524311 WVH524311:WVK524311 IV589847:IY589847 SR589847:SU589847 ACN589847:ACQ589847 AMJ589847:AMM589847 AWF589847:AWI589847 BGB589847:BGE589847 BPX589847:BQA589847 BZT589847:BZW589847 CJP589847:CJS589847 CTL589847:CTO589847 DDH589847:DDK589847 DND589847:DNG589847 DWZ589847:DXC589847 EGV589847:EGY589847 EQR589847:EQU589847 FAN589847:FAQ589847 FKJ589847:FKM589847 FUF589847:FUI589847 GEB589847:GEE589847 GNX589847:GOA589847 GXT589847:GXW589847 HHP589847:HHS589847 HRL589847:HRO589847 IBH589847:IBK589847 ILD589847:ILG589847 IUZ589847:IVC589847 JEV589847:JEY589847 JOR589847:JOU589847 JYN589847:JYQ589847 KIJ589847:KIM589847 KSF589847:KSI589847 LCB589847:LCE589847 LLX589847:LMA589847 LVT589847:LVW589847 MFP589847:MFS589847 MPL589847:MPO589847 MZH589847:MZK589847 NJD589847:NJG589847 NSZ589847:NTC589847 OCV589847:OCY589847 OMR589847:OMU589847 OWN589847:OWQ589847 PGJ589847:PGM589847 PQF589847:PQI589847 QAB589847:QAE589847 QJX589847:QKA589847 QTT589847:QTW589847 RDP589847:RDS589847 RNL589847:RNO589847 RXH589847:RXK589847 SHD589847:SHG589847 SQZ589847:SRC589847 TAV589847:TAY589847 TKR589847:TKU589847 TUN589847:TUQ589847 UEJ589847:UEM589847 UOF589847:UOI589847 UYB589847:UYE589847 VHX589847:VIA589847 VRT589847:VRW589847 WBP589847:WBS589847 WLL589847:WLO589847 WVH589847:WVK589847 IV655383:IY655383 SR655383:SU655383 ACN655383:ACQ655383 AMJ655383:AMM655383 AWF655383:AWI655383 BGB655383:BGE655383 BPX655383:BQA655383 BZT655383:BZW655383 CJP655383:CJS655383 CTL655383:CTO655383 DDH655383:DDK655383 DND655383:DNG655383 DWZ655383:DXC655383 EGV655383:EGY655383 EQR655383:EQU655383 FAN655383:FAQ655383 FKJ655383:FKM655383 FUF655383:FUI655383 GEB655383:GEE655383 GNX655383:GOA655383 GXT655383:GXW655383 HHP655383:HHS655383 HRL655383:HRO655383 IBH655383:IBK655383 ILD655383:ILG655383 IUZ655383:IVC655383 JEV655383:JEY655383 JOR655383:JOU655383 JYN655383:JYQ655383 KIJ655383:KIM655383 KSF655383:KSI655383 LCB655383:LCE655383 LLX655383:LMA655383 LVT655383:LVW655383 MFP655383:MFS655383 MPL655383:MPO655383 MZH655383:MZK655383 NJD655383:NJG655383 NSZ655383:NTC655383 OCV655383:OCY655383 OMR655383:OMU655383 OWN655383:OWQ655383 PGJ655383:PGM655383 PQF655383:PQI655383 QAB655383:QAE655383 QJX655383:QKA655383 QTT655383:QTW655383 RDP655383:RDS655383 RNL655383:RNO655383 RXH655383:RXK655383 SHD655383:SHG655383 SQZ655383:SRC655383 TAV655383:TAY655383 TKR655383:TKU655383 TUN655383:TUQ655383 UEJ655383:UEM655383 UOF655383:UOI655383 UYB655383:UYE655383 VHX655383:VIA655383 VRT655383:VRW655383 WBP655383:WBS655383 WLL655383:WLO655383 WVH655383:WVK655383 IV720919:IY720919 SR720919:SU720919 ACN720919:ACQ720919 AMJ720919:AMM720919 AWF720919:AWI720919 BGB720919:BGE720919 BPX720919:BQA720919 BZT720919:BZW720919 CJP720919:CJS720919 CTL720919:CTO720919 DDH720919:DDK720919 DND720919:DNG720919 DWZ720919:DXC720919 EGV720919:EGY720919 EQR720919:EQU720919 FAN720919:FAQ720919 FKJ720919:FKM720919 FUF720919:FUI720919 GEB720919:GEE720919 GNX720919:GOA720919 GXT720919:GXW720919 HHP720919:HHS720919 HRL720919:HRO720919 IBH720919:IBK720919 ILD720919:ILG720919 IUZ720919:IVC720919 JEV720919:JEY720919 JOR720919:JOU720919 JYN720919:JYQ720919 KIJ720919:KIM720919 KSF720919:KSI720919 LCB720919:LCE720919 LLX720919:LMA720919 LVT720919:LVW720919 MFP720919:MFS720919 MPL720919:MPO720919 MZH720919:MZK720919 NJD720919:NJG720919 NSZ720919:NTC720919 OCV720919:OCY720919 OMR720919:OMU720919 OWN720919:OWQ720919 PGJ720919:PGM720919 PQF720919:PQI720919 QAB720919:QAE720919 QJX720919:QKA720919 QTT720919:QTW720919 RDP720919:RDS720919 RNL720919:RNO720919 RXH720919:RXK720919 SHD720919:SHG720919 SQZ720919:SRC720919 TAV720919:TAY720919 TKR720919:TKU720919 TUN720919:TUQ720919 UEJ720919:UEM720919 UOF720919:UOI720919 UYB720919:UYE720919 VHX720919:VIA720919 VRT720919:VRW720919 WBP720919:WBS720919 WLL720919:WLO720919 WVH720919:WVK720919 IV786455:IY786455 SR786455:SU786455 ACN786455:ACQ786455 AMJ786455:AMM786455 AWF786455:AWI786455 BGB786455:BGE786455 BPX786455:BQA786455 BZT786455:BZW786455 CJP786455:CJS786455 CTL786455:CTO786455 DDH786455:DDK786455 DND786455:DNG786455 DWZ786455:DXC786455 EGV786455:EGY786455 EQR786455:EQU786455 FAN786455:FAQ786455 FKJ786455:FKM786455 FUF786455:FUI786455 GEB786455:GEE786455 GNX786455:GOA786455 GXT786455:GXW786455 HHP786455:HHS786455 HRL786455:HRO786455 IBH786455:IBK786455 ILD786455:ILG786455 IUZ786455:IVC786455 JEV786455:JEY786455 JOR786455:JOU786455 JYN786455:JYQ786455 KIJ786455:KIM786455 KSF786455:KSI786455 LCB786455:LCE786455 LLX786455:LMA786455 LVT786455:LVW786455 MFP786455:MFS786455 MPL786455:MPO786455 MZH786455:MZK786455 NJD786455:NJG786455 NSZ786455:NTC786455 OCV786455:OCY786455 OMR786455:OMU786455 OWN786455:OWQ786455 PGJ786455:PGM786455 PQF786455:PQI786455 QAB786455:QAE786455 QJX786455:QKA786455 QTT786455:QTW786455 RDP786455:RDS786455 RNL786455:RNO786455 RXH786455:RXK786455 SHD786455:SHG786455 SQZ786455:SRC786455 TAV786455:TAY786455 TKR786455:TKU786455 TUN786455:TUQ786455 UEJ786455:UEM786455 UOF786455:UOI786455 UYB786455:UYE786455 VHX786455:VIA786455 VRT786455:VRW786455 WBP786455:WBS786455 WLL786455:WLO786455 WVH786455:WVK786455 IV851991:IY851991 SR851991:SU851991 ACN851991:ACQ851991 AMJ851991:AMM851991 AWF851991:AWI851991 BGB851991:BGE851991 BPX851991:BQA851991 BZT851991:BZW851991 CJP851991:CJS851991 CTL851991:CTO851991 DDH851991:DDK851991 DND851991:DNG851991 DWZ851991:DXC851991 EGV851991:EGY851991 EQR851991:EQU851991 FAN851991:FAQ851991 FKJ851991:FKM851991 FUF851991:FUI851991 GEB851991:GEE851991 GNX851991:GOA851991 GXT851991:GXW851991 HHP851991:HHS851991 HRL851991:HRO851991 IBH851991:IBK851991 ILD851991:ILG851991 IUZ851991:IVC851991 JEV851991:JEY851991 JOR851991:JOU851991 JYN851991:JYQ851991 KIJ851991:KIM851991 KSF851991:KSI851991 LCB851991:LCE851991 LLX851991:LMA851991 LVT851991:LVW851991 MFP851991:MFS851991 MPL851991:MPO851991 MZH851991:MZK851991 NJD851991:NJG851991 NSZ851991:NTC851991 OCV851991:OCY851991 OMR851991:OMU851991 OWN851991:OWQ851991 PGJ851991:PGM851991 PQF851991:PQI851991 QAB851991:QAE851991 QJX851991:QKA851991 QTT851991:QTW851991 RDP851991:RDS851991 RNL851991:RNO851991 RXH851991:RXK851991 SHD851991:SHG851991 SQZ851991:SRC851991 TAV851991:TAY851991 TKR851991:TKU851991 TUN851991:TUQ851991 UEJ851991:UEM851991 UOF851991:UOI851991 UYB851991:UYE851991 VHX851991:VIA851991 VRT851991:VRW851991 WBP851991:WBS851991 WLL851991:WLO851991 WVH851991:WVK851991 IV917527:IY917527 SR917527:SU917527 ACN917527:ACQ917527 AMJ917527:AMM917527 AWF917527:AWI917527 BGB917527:BGE917527 BPX917527:BQA917527 BZT917527:BZW917527 CJP917527:CJS917527 CTL917527:CTO917527 DDH917527:DDK917527 DND917527:DNG917527 DWZ917527:DXC917527 EGV917527:EGY917527 EQR917527:EQU917527 FAN917527:FAQ917527 FKJ917527:FKM917527 FUF917527:FUI917527 GEB917527:GEE917527 GNX917527:GOA917527 GXT917527:GXW917527 HHP917527:HHS917527 HRL917527:HRO917527 IBH917527:IBK917527 ILD917527:ILG917527 IUZ917527:IVC917527 JEV917527:JEY917527 JOR917527:JOU917527 JYN917527:JYQ917527 KIJ917527:KIM917527 KSF917527:KSI917527 LCB917527:LCE917527 LLX917527:LMA917527 LVT917527:LVW917527 MFP917527:MFS917527 MPL917527:MPO917527 MZH917527:MZK917527 NJD917527:NJG917527 NSZ917527:NTC917527 OCV917527:OCY917527 OMR917527:OMU917527 OWN917527:OWQ917527 PGJ917527:PGM917527 PQF917527:PQI917527 QAB917527:QAE917527 QJX917527:QKA917527 QTT917527:QTW917527 RDP917527:RDS917527 RNL917527:RNO917527 RXH917527:RXK917527 SHD917527:SHG917527 SQZ917527:SRC917527 TAV917527:TAY917527 TKR917527:TKU917527 TUN917527:TUQ917527 UEJ917527:UEM917527 UOF917527:UOI917527 UYB917527:UYE917527 VHX917527:VIA917527 VRT917527:VRW917527 WBP917527:WBS917527 WLL917527:WLO917527 WVH917527:WVK917527 IV983063:IY983063 SR983063:SU983063 ACN983063:ACQ983063 AMJ983063:AMM983063 AWF983063:AWI983063 BGB983063:BGE983063 BPX983063:BQA983063 BZT983063:BZW983063 CJP983063:CJS983063 CTL983063:CTO983063 DDH983063:DDK983063 DND983063:DNG983063 DWZ983063:DXC983063 EGV983063:EGY983063 EQR983063:EQU983063 FAN983063:FAQ983063 FKJ983063:FKM983063 FUF983063:FUI983063 GEB983063:GEE983063 GNX983063:GOA983063 GXT983063:GXW983063 HHP983063:HHS983063 HRL983063:HRO983063 IBH983063:IBK983063 ILD983063:ILG983063 IUZ983063:IVC983063 JEV983063:JEY983063 JOR983063:JOU983063 JYN983063:JYQ983063 KIJ983063:KIM983063 KSF983063:KSI983063 LCB983063:LCE983063 LLX983063:LMA983063 LVT983063:LVW983063 MFP983063:MFS983063 MPL983063:MPO983063 MZH983063:MZK983063 NJD983063:NJG983063 NSZ983063:NTC983063 OCV983063:OCY983063 OMR983063:OMU983063 OWN983063:OWQ983063 PGJ983063:PGM983063 PQF983063:PQI983063 QAB983063:QAE983063 QJX983063:QKA983063 QTT983063:QTW983063 RDP983063:RDS983063 RNL983063:RNO983063 RXH983063:RXK983063 SHD983063:SHG983063 SQZ983063:SRC983063 TAV983063:TAY983063 TKR983063:TKU983063 TUN983063:TUQ983063 UEJ983063:UEM983063 UOF983063:UOI983063 UYB983063:UYE983063 VHX983063:VIA983063 VRT983063:VRW983063 WBP983063:WBS983063 WLL983063:WLO983063 WVH983063:WVK983063 F27:IU27 JB27:SQ27 SX27:ACM27 ACT27:AMI27 AMP27:AWE27 AWL27:BGA27 BGH27:BPW27 BQD27:BZS27 BZZ27:CJO27 CJV27:CTK27 CTR27:DDG27 DDN27:DNC27 DNJ27:DWY27 DXF27:EGU27 EHB27:EQQ27 EQX27:FAM27 FAT27:FKI27 FKP27:FUE27 FUL27:GEA27 GEH27:GNW27 GOD27:GXS27 GXZ27:HHO27 HHV27:HRK27 HRR27:IBG27 IBN27:ILC27 ILJ27:IUY27 IVF27:JEU27 JFB27:JOQ27 JOX27:JYM27 JYT27:KII27 KIP27:KSE27 KSL27:LCA27 LCH27:LLW27 LMD27:LVS27 LVZ27:MFO27 MFV27:MPK27 MPR27:MZG27 MZN27:NJC27 NJJ27:NSY27 NTF27:OCU27 ODB27:OMQ27 OMX27:OWM27 OWT27:PGI27 PGP27:PQE27 PQL27:QAA27 QAH27:QJW27 QKD27:QTS27 QTZ27:RDO27 RDV27:RNK27 RNR27:RXG27 RXN27:SHC27 SHJ27:SQY27 SRF27:TAU27 TBB27:TKQ27 TKX27:TUM27 TUT27:UEI27 UEP27:UOE27 UOL27:UYA27 UYH27:VHW27 VID27:VRS27 VRZ27:WBO27 WBV27:WLK27 WLR27:WVG27 WVN27:XFD27 F65562:IU65562 JB65562:SQ65562 SX65562:ACM65562 ACT65562:AMI65562 AMP65562:AWE65562 AWL65562:BGA65562 BGH65562:BPW65562 BQD65562:BZS65562 BZZ65562:CJO65562 CJV65562:CTK65562 CTR65562:DDG65562 DDN65562:DNC65562 DNJ65562:DWY65562 DXF65562:EGU65562 EHB65562:EQQ65562 EQX65562:FAM65562 FAT65562:FKI65562 FKP65562:FUE65562 FUL65562:GEA65562 GEH65562:GNW65562 GOD65562:GXS65562 GXZ65562:HHO65562 HHV65562:HRK65562 HRR65562:IBG65562 IBN65562:ILC65562 ILJ65562:IUY65562 IVF65562:JEU65562 JFB65562:JOQ65562 JOX65562:JYM65562 JYT65562:KII65562 KIP65562:KSE65562 KSL65562:LCA65562 LCH65562:LLW65562 LMD65562:LVS65562 LVZ65562:MFO65562 MFV65562:MPK65562 MPR65562:MZG65562 MZN65562:NJC65562 NJJ65562:NSY65562 NTF65562:OCU65562 ODB65562:OMQ65562 OMX65562:OWM65562 OWT65562:PGI65562 PGP65562:PQE65562 PQL65562:QAA65562 QAH65562:QJW65562 QKD65562:QTS65562 QTZ65562:RDO65562 RDV65562:RNK65562 RNR65562:RXG65562 RXN65562:SHC65562 SHJ65562:SQY65562 SRF65562:TAU65562 TBB65562:TKQ65562 TKX65562:TUM65562 TUT65562:UEI65562 UEP65562:UOE65562 UOL65562:UYA65562 UYH65562:VHW65562 VID65562:VRS65562 VRZ65562:WBO65562 WBV65562:WLK65562 WLR65562:WVG65562 WVN65562:XFD65562 F131098:IU131098 JB131098:SQ131098 SX131098:ACM131098 ACT131098:AMI131098 AMP131098:AWE131098 AWL131098:BGA131098 BGH131098:BPW131098 BQD131098:BZS131098 BZZ131098:CJO131098 CJV131098:CTK131098 CTR131098:DDG131098 DDN131098:DNC131098 DNJ131098:DWY131098 DXF131098:EGU131098 EHB131098:EQQ131098 EQX131098:FAM131098 FAT131098:FKI131098 FKP131098:FUE131098 FUL131098:GEA131098 GEH131098:GNW131098 GOD131098:GXS131098 GXZ131098:HHO131098 HHV131098:HRK131098 HRR131098:IBG131098 IBN131098:ILC131098 ILJ131098:IUY131098 IVF131098:JEU131098 JFB131098:JOQ131098 JOX131098:JYM131098 JYT131098:KII131098 KIP131098:KSE131098 KSL131098:LCA131098 LCH131098:LLW131098 LMD131098:LVS131098 LVZ131098:MFO131098 MFV131098:MPK131098 MPR131098:MZG131098 MZN131098:NJC131098 NJJ131098:NSY131098 NTF131098:OCU131098 ODB131098:OMQ131098 OMX131098:OWM131098 OWT131098:PGI131098 PGP131098:PQE131098 PQL131098:QAA131098 QAH131098:QJW131098 QKD131098:QTS131098 QTZ131098:RDO131098 RDV131098:RNK131098 RNR131098:RXG131098 RXN131098:SHC131098 SHJ131098:SQY131098 SRF131098:TAU131098 TBB131098:TKQ131098 TKX131098:TUM131098 TUT131098:UEI131098 UEP131098:UOE131098 UOL131098:UYA131098 UYH131098:VHW131098 VID131098:VRS131098 VRZ131098:WBO131098 WBV131098:WLK131098 WLR131098:WVG131098 WVN131098:XFD131098 F196634:IU196634 JB196634:SQ196634 SX196634:ACM196634 ACT196634:AMI196634 AMP196634:AWE196634 AWL196634:BGA196634 BGH196634:BPW196634 BQD196634:BZS196634 BZZ196634:CJO196634 CJV196634:CTK196634 CTR196634:DDG196634 DDN196634:DNC196634 DNJ196634:DWY196634 DXF196634:EGU196634 EHB196634:EQQ196634 EQX196634:FAM196634 FAT196634:FKI196634 FKP196634:FUE196634 FUL196634:GEA196634 GEH196634:GNW196634 GOD196634:GXS196634 GXZ196634:HHO196634 HHV196634:HRK196634 HRR196634:IBG196634 IBN196634:ILC196634 ILJ196634:IUY196634 IVF196634:JEU196634 JFB196634:JOQ196634 JOX196634:JYM196634 JYT196634:KII196634 KIP196634:KSE196634 KSL196634:LCA196634 LCH196634:LLW196634 LMD196634:LVS196634 LVZ196634:MFO196634 MFV196634:MPK196634 MPR196634:MZG196634 MZN196634:NJC196634 NJJ196634:NSY196634 NTF196634:OCU196634 ODB196634:OMQ196634 OMX196634:OWM196634 OWT196634:PGI196634 PGP196634:PQE196634 PQL196634:QAA196634 QAH196634:QJW196634 QKD196634:QTS196634 QTZ196634:RDO196634 RDV196634:RNK196634 RNR196634:RXG196634 RXN196634:SHC196634 SHJ196634:SQY196634 SRF196634:TAU196634 TBB196634:TKQ196634 TKX196634:TUM196634 TUT196634:UEI196634 UEP196634:UOE196634 UOL196634:UYA196634 UYH196634:VHW196634 VID196634:VRS196634 VRZ196634:WBO196634 WBV196634:WLK196634 WLR196634:WVG196634 WVN196634:XFD196634 F262170:IU262170 JB262170:SQ262170 SX262170:ACM262170 ACT262170:AMI262170 AMP262170:AWE262170 AWL262170:BGA262170 BGH262170:BPW262170 BQD262170:BZS262170 BZZ262170:CJO262170 CJV262170:CTK262170 CTR262170:DDG262170 DDN262170:DNC262170 DNJ262170:DWY262170 DXF262170:EGU262170 EHB262170:EQQ262170 EQX262170:FAM262170 FAT262170:FKI262170 FKP262170:FUE262170 FUL262170:GEA262170 GEH262170:GNW262170 GOD262170:GXS262170 GXZ262170:HHO262170 HHV262170:HRK262170 HRR262170:IBG262170 IBN262170:ILC262170 ILJ262170:IUY262170 IVF262170:JEU262170 JFB262170:JOQ262170 JOX262170:JYM262170 JYT262170:KII262170 KIP262170:KSE262170 KSL262170:LCA262170 LCH262170:LLW262170 LMD262170:LVS262170 LVZ262170:MFO262170 MFV262170:MPK262170 MPR262170:MZG262170 MZN262170:NJC262170 NJJ262170:NSY262170 NTF262170:OCU262170 ODB262170:OMQ262170 OMX262170:OWM262170 OWT262170:PGI262170 PGP262170:PQE262170 PQL262170:QAA262170 QAH262170:QJW262170 QKD262170:QTS262170 QTZ262170:RDO262170 RDV262170:RNK262170 RNR262170:RXG262170 RXN262170:SHC262170 SHJ262170:SQY262170 SRF262170:TAU262170 TBB262170:TKQ262170 TKX262170:TUM262170 TUT262170:UEI262170 UEP262170:UOE262170 UOL262170:UYA262170 UYH262170:VHW262170 VID262170:VRS262170 VRZ262170:WBO262170 WBV262170:WLK262170 WLR262170:WVG262170 WVN262170:XFD262170 F327706:IU327706 JB327706:SQ327706 SX327706:ACM327706 ACT327706:AMI327706 AMP327706:AWE327706 AWL327706:BGA327706 BGH327706:BPW327706 BQD327706:BZS327706 BZZ327706:CJO327706 CJV327706:CTK327706 CTR327706:DDG327706 DDN327706:DNC327706 DNJ327706:DWY327706 DXF327706:EGU327706 EHB327706:EQQ327706 EQX327706:FAM327706 FAT327706:FKI327706 FKP327706:FUE327706 FUL327706:GEA327706 GEH327706:GNW327706 GOD327706:GXS327706 GXZ327706:HHO327706 HHV327706:HRK327706 HRR327706:IBG327706 IBN327706:ILC327706 ILJ327706:IUY327706 IVF327706:JEU327706 JFB327706:JOQ327706 JOX327706:JYM327706 JYT327706:KII327706 KIP327706:KSE327706 KSL327706:LCA327706 LCH327706:LLW327706 LMD327706:LVS327706 LVZ327706:MFO327706 MFV327706:MPK327706 MPR327706:MZG327706 MZN327706:NJC327706 NJJ327706:NSY327706 NTF327706:OCU327706 ODB327706:OMQ327706 OMX327706:OWM327706 OWT327706:PGI327706 PGP327706:PQE327706 PQL327706:QAA327706 QAH327706:QJW327706 QKD327706:QTS327706 QTZ327706:RDO327706 RDV327706:RNK327706 RNR327706:RXG327706 RXN327706:SHC327706 SHJ327706:SQY327706 SRF327706:TAU327706 TBB327706:TKQ327706 TKX327706:TUM327706 TUT327706:UEI327706 UEP327706:UOE327706 UOL327706:UYA327706 UYH327706:VHW327706 VID327706:VRS327706 VRZ327706:WBO327706 WBV327706:WLK327706 WLR327706:WVG327706 WVN327706:XFD327706 F393242:IU393242 JB393242:SQ393242 SX393242:ACM393242 ACT393242:AMI393242 AMP393242:AWE393242 AWL393242:BGA393242 BGH393242:BPW393242 BQD393242:BZS393242 BZZ393242:CJO393242 CJV393242:CTK393242 CTR393242:DDG393242 DDN393242:DNC393242 DNJ393242:DWY393242 DXF393242:EGU393242 EHB393242:EQQ393242 EQX393242:FAM393242 FAT393242:FKI393242 FKP393242:FUE393242 FUL393242:GEA393242 GEH393242:GNW393242 GOD393242:GXS393242 GXZ393242:HHO393242 HHV393242:HRK393242 HRR393242:IBG393242 IBN393242:ILC393242 ILJ393242:IUY393242 IVF393242:JEU393242 JFB393242:JOQ393242 JOX393242:JYM393242 JYT393242:KII393242 KIP393242:KSE393242 KSL393242:LCA393242 LCH393242:LLW393242 LMD393242:LVS393242 LVZ393242:MFO393242 MFV393242:MPK393242 MPR393242:MZG393242 MZN393242:NJC393242 NJJ393242:NSY393242 NTF393242:OCU393242 ODB393242:OMQ393242 OMX393242:OWM393242 OWT393242:PGI393242 PGP393242:PQE393242 PQL393242:QAA393242 QAH393242:QJW393242 QKD393242:QTS393242 QTZ393242:RDO393242 RDV393242:RNK393242 RNR393242:RXG393242 RXN393242:SHC393242 SHJ393242:SQY393242 SRF393242:TAU393242 TBB393242:TKQ393242 TKX393242:TUM393242 TUT393242:UEI393242 UEP393242:UOE393242 UOL393242:UYA393242 UYH393242:VHW393242 VID393242:VRS393242 VRZ393242:WBO393242 WBV393242:WLK393242 WLR393242:WVG393242 WVN393242:XFD393242 F458778:IU458778 JB458778:SQ458778 SX458778:ACM458778 ACT458778:AMI458778 AMP458778:AWE458778 AWL458778:BGA458778 BGH458778:BPW458778 BQD458778:BZS458778 BZZ458778:CJO458778 CJV458778:CTK458778 CTR458778:DDG458778 DDN458778:DNC458778 DNJ458778:DWY458778 DXF458778:EGU458778 EHB458778:EQQ458778 EQX458778:FAM458778 FAT458778:FKI458778 FKP458778:FUE458778 FUL458778:GEA458778 GEH458778:GNW458778 GOD458778:GXS458778 GXZ458778:HHO458778 HHV458778:HRK458778 HRR458778:IBG458778 IBN458778:ILC458778 ILJ458778:IUY458778 IVF458778:JEU458778 JFB458778:JOQ458778 JOX458778:JYM458778 JYT458778:KII458778 KIP458778:KSE458778 KSL458778:LCA458778 LCH458778:LLW458778 LMD458778:LVS458778 LVZ458778:MFO458778 MFV458778:MPK458778 MPR458778:MZG458778 MZN458778:NJC458778 NJJ458778:NSY458778 NTF458778:OCU458778 ODB458778:OMQ458778 OMX458778:OWM458778 OWT458778:PGI458778 PGP458778:PQE458778 PQL458778:QAA458778 QAH458778:QJW458778 QKD458778:QTS458778 QTZ458778:RDO458778 RDV458778:RNK458778 RNR458778:RXG458778 RXN458778:SHC458778 SHJ458778:SQY458778 SRF458778:TAU458778 TBB458778:TKQ458778 TKX458778:TUM458778 TUT458778:UEI458778 UEP458778:UOE458778 UOL458778:UYA458778 UYH458778:VHW458778 VID458778:VRS458778 VRZ458778:WBO458778 WBV458778:WLK458778 WLR458778:WVG458778 WVN458778:XFD458778 F524314:IU524314 JB524314:SQ524314 SX524314:ACM524314 ACT524314:AMI524314 AMP524314:AWE524314 AWL524314:BGA524314 BGH524314:BPW524314 BQD524314:BZS524314 BZZ524314:CJO524314 CJV524314:CTK524314 CTR524314:DDG524314 DDN524314:DNC524314 DNJ524314:DWY524314 DXF524314:EGU524314 EHB524314:EQQ524314 EQX524314:FAM524314 FAT524314:FKI524314 FKP524314:FUE524314 FUL524314:GEA524314 GEH524314:GNW524314 GOD524314:GXS524314 GXZ524314:HHO524314 HHV524314:HRK524314 HRR524314:IBG524314 IBN524314:ILC524314 ILJ524314:IUY524314 IVF524314:JEU524314 JFB524314:JOQ524314 JOX524314:JYM524314 JYT524314:KII524314 KIP524314:KSE524314 KSL524314:LCA524314 LCH524314:LLW524314 LMD524314:LVS524314 LVZ524314:MFO524314 MFV524314:MPK524314 MPR524314:MZG524314 MZN524314:NJC524314 NJJ524314:NSY524314 NTF524314:OCU524314 ODB524314:OMQ524314 OMX524314:OWM524314 OWT524314:PGI524314 PGP524314:PQE524314 PQL524314:QAA524314 QAH524314:QJW524314 QKD524314:QTS524314 QTZ524314:RDO524314 RDV524314:RNK524314 RNR524314:RXG524314 RXN524314:SHC524314 SHJ524314:SQY524314 SRF524314:TAU524314 TBB524314:TKQ524314 TKX524314:TUM524314 TUT524314:UEI524314 UEP524314:UOE524314 UOL524314:UYA524314 UYH524314:VHW524314 VID524314:VRS524314 VRZ524314:WBO524314 WBV524314:WLK524314 WLR524314:WVG524314 WVN524314:XFD524314 F589850:IU589850 JB589850:SQ589850 SX589850:ACM589850 ACT589850:AMI589850 AMP589850:AWE589850 AWL589850:BGA589850 BGH589850:BPW589850 BQD589850:BZS589850 BZZ589850:CJO589850 CJV589850:CTK589850 CTR589850:DDG589850 DDN589850:DNC589850 DNJ589850:DWY589850 DXF589850:EGU589850 EHB589850:EQQ589850 EQX589850:FAM589850 FAT589850:FKI589850 FKP589850:FUE589850 FUL589850:GEA589850 GEH589850:GNW589850 GOD589850:GXS589850 GXZ589850:HHO589850 HHV589850:HRK589850 HRR589850:IBG589850 IBN589850:ILC589850 ILJ589850:IUY589850 IVF589850:JEU589850 JFB589850:JOQ589850 JOX589850:JYM589850 JYT589850:KII589850 KIP589850:KSE589850 KSL589850:LCA589850 LCH589850:LLW589850 LMD589850:LVS589850 LVZ589850:MFO589850 MFV589850:MPK589850 MPR589850:MZG589850 MZN589850:NJC589850 NJJ589850:NSY589850 NTF589850:OCU589850 ODB589850:OMQ589850 OMX589850:OWM589850 OWT589850:PGI589850 PGP589850:PQE589850 PQL589850:QAA589850 QAH589850:QJW589850 QKD589850:QTS589850 QTZ589850:RDO589850 RDV589850:RNK589850 RNR589850:RXG589850 RXN589850:SHC589850 SHJ589850:SQY589850 SRF589850:TAU589850 TBB589850:TKQ589850 TKX589850:TUM589850 TUT589850:UEI589850 UEP589850:UOE589850 UOL589850:UYA589850 UYH589850:VHW589850 VID589850:VRS589850 VRZ589850:WBO589850 WBV589850:WLK589850 WLR589850:WVG589850 WVN589850:XFD589850 F655386:IU655386 JB655386:SQ655386 SX655386:ACM655386 ACT655386:AMI655386 AMP655386:AWE655386 AWL655386:BGA655386 BGH655386:BPW655386 BQD655386:BZS655386 BZZ655386:CJO655386 CJV655386:CTK655386 CTR655386:DDG655386 DDN655386:DNC655386 DNJ655386:DWY655386 DXF655386:EGU655386 EHB655386:EQQ655386 EQX655386:FAM655386 FAT655386:FKI655386 FKP655386:FUE655386 FUL655386:GEA655386 GEH655386:GNW655386 GOD655386:GXS655386 GXZ655386:HHO655386 HHV655386:HRK655386 HRR655386:IBG655386 IBN655386:ILC655386 ILJ655386:IUY655386 IVF655386:JEU655386 JFB655386:JOQ655386 JOX655386:JYM655386 JYT655386:KII655386 KIP655386:KSE655386 KSL655386:LCA655386 LCH655386:LLW655386 LMD655386:LVS655386 LVZ655386:MFO655386 MFV655386:MPK655386 MPR655386:MZG655386 MZN655386:NJC655386 NJJ655386:NSY655386 NTF655386:OCU655386 ODB655386:OMQ655386 OMX655386:OWM655386 OWT655386:PGI655386 PGP655386:PQE655386 PQL655386:QAA655386 QAH655386:QJW655386 QKD655386:QTS655386 QTZ655386:RDO655386 RDV655386:RNK655386 RNR655386:RXG655386 RXN655386:SHC655386 SHJ655386:SQY655386 SRF655386:TAU655386 TBB655386:TKQ655386 TKX655386:TUM655386 TUT655386:UEI655386 UEP655386:UOE655386 UOL655386:UYA655386 UYH655386:VHW655386 VID655386:VRS655386 VRZ655386:WBO655386 WBV655386:WLK655386 WLR655386:WVG655386 WVN655386:XFD655386 F720922:IU720922 JB720922:SQ720922 SX720922:ACM720922 ACT720922:AMI720922 AMP720922:AWE720922 AWL720922:BGA720922 BGH720922:BPW720922 BQD720922:BZS720922 BZZ720922:CJO720922 CJV720922:CTK720922 CTR720922:DDG720922 DDN720922:DNC720922 DNJ720922:DWY720922 DXF720922:EGU720922 EHB720922:EQQ720922 EQX720922:FAM720922 FAT720922:FKI720922 FKP720922:FUE720922 FUL720922:GEA720922 GEH720922:GNW720922 GOD720922:GXS720922 GXZ720922:HHO720922 HHV720922:HRK720922 HRR720922:IBG720922 IBN720922:ILC720922 ILJ720922:IUY720922 IVF720922:JEU720922 JFB720922:JOQ720922 JOX720922:JYM720922 JYT720922:KII720922 KIP720922:KSE720922 KSL720922:LCA720922 LCH720922:LLW720922 LMD720922:LVS720922 LVZ720922:MFO720922 MFV720922:MPK720922 MPR720922:MZG720922 MZN720922:NJC720922 NJJ720922:NSY720922 NTF720922:OCU720922 ODB720922:OMQ720922 OMX720922:OWM720922 OWT720922:PGI720922 PGP720922:PQE720922 PQL720922:QAA720922 QAH720922:QJW720922 QKD720922:QTS720922 QTZ720922:RDO720922 RDV720922:RNK720922 RNR720922:RXG720922 RXN720922:SHC720922 SHJ720922:SQY720922 SRF720922:TAU720922 TBB720922:TKQ720922 TKX720922:TUM720922 TUT720922:UEI720922 UEP720922:UOE720922 UOL720922:UYA720922 UYH720922:VHW720922 VID720922:VRS720922 VRZ720922:WBO720922 WBV720922:WLK720922 WLR720922:WVG720922 WVN720922:XFD720922 F786458:IU786458 JB786458:SQ786458 SX786458:ACM786458 ACT786458:AMI786458 AMP786458:AWE786458 AWL786458:BGA786458 BGH786458:BPW786458 BQD786458:BZS786458 BZZ786458:CJO786458 CJV786458:CTK786458 CTR786458:DDG786458 DDN786458:DNC786458 DNJ786458:DWY786458 DXF786458:EGU786458 EHB786458:EQQ786458 EQX786458:FAM786458 FAT786458:FKI786458 FKP786458:FUE786458 FUL786458:GEA786458 GEH786458:GNW786458 GOD786458:GXS786458 GXZ786458:HHO786458 HHV786458:HRK786458 HRR786458:IBG786458 IBN786458:ILC786458 ILJ786458:IUY786458 IVF786458:JEU786458 JFB786458:JOQ786458 JOX786458:JYM786458 JYT786458:KII786458 KIP786458:KSE786458 KSL786458:LCA786458 LCH786458:LLW786458 LMD786458:LVS786458 LVZ786458:MFO786458 MFV786458:MPK786458 MPR786458:MZG786458 MZN786458:NJC786458 NJJ786458:NSY786458 NTF786458:OCU786458 ODB786458:OMQ786458 OMX786458:OWM786458 OWT786458:PGI786458 PGP786458:PQE786458 PQL786458:QAA786458 QAH786458:QJW786458 QKD786458:QTS786458 QTZ786458:RDO786458 RDV786458:RNK786458 RNR786458:RXG786458 RXN786458:SHC786458 SHJ786458:SQY786458 SRF786458:TAU786458 TBB786458:TKQ786458 TKX786458:TUM786458 TUT786458:UEI786458 UEP786458:UOE786458 UOL786458:UYA786458 UYH786458:VHW786458 VID786458:VRS786458 VRZ786458:WBO786458 WBV786458:WLK786458 WLR786458:WVG786458 WVN786458:XFD786458 F851994:IU851994 JB851994:SQ851994 SX851994:ACM851994 ACT851994:AMI851994 AMP851994:AWE851994 AWL851994:BGA851994 BGH851994:BPW851994 BQD851994:BZS851994 BZZ851994:CJO851994 CJV851994:CTK851994 CTR851994:DDG851994 DDN851994:DNC851994 DNJ851994:DWY851994 DXF851994:EGU851994 EHB851994:EQQ851994 EQX851994:FAM851994 FAT851994:FKI851994 FKP851994:FUE851994 FUL851994:GEA851994 GEH851994:GNW851994 GOD851994:GXS851994 GXZ851994:HHO851994 HHV851994:HRK851994 HRR851994:IBG851994 IBN851994:ILC851994 ILJ851994:IUY851994 IVF851994:JEU851994 JFB851994:JOQ851994 JOX851994:JYM851994 JYT851994:KII851994 KIP851994:KSE851994 KSL851994:LCA851994 LCH851994:LLW851994 LMD851994:LVS851994 LVZ851994:MFO851994 MFV851994:MPK851994 MPR851994:MZG851994 MZN851994:NJC851994 NJJ851994:NSY851994 NTF851994:OCU851994 ODB851994:OMQ851994 OMX851994:OWM851994 OWT851994:PGI851994 PGP851994:PQE851994 PQL851994:QAA851994 QAH851994:QJW851994 QKD851994:QTS851994 QTZ851994:RDO851994 RDV851994:RNK851994 RNR851994:RXG851994 RXN851994:SHC851994 SHJ851994:SQY851994 SRF851994:TAU851994 TBB851994:TKQ851994 TKX851994:TUM851994 TUT851994:UEI851994 UEP851994:UOE851994 UOL851994:UYA851994 UYH851994:VHW851994 VID851994:VRS851994 VRZ851994:WBO851994 WBV851994:WLK851994 WLR851994:WVG851994 WVN851994:XFD851994 F917530:IU917530 JB917530:SQ917530 SX917530:ACM917530 ACT917530:AMI917530 AMP917530:AWE917530 AWL917530:BGA917530 BGH917530:BPW917530 BQD917530:BZS917530 BZZ917530:CJO917530 CJV917530:CTK917530 CTR917530:DDG917530 DDN917530:DNC917530 DNJ917530:DWY917530 DXF917530:EGU917530 EHB917530:EQQ917530 EQX917530:FAM917530 FAT917530:FKI917530 FKP917530:FUE917530 FUL917530:GEA917530 GEH917530:GNW917530 GOD917530:GXS917530 GXZ917530:HHO917530 HHV917530:HRK917530 HRR917530:IBG917530 IBN917530:ILC917530 ILJ917530:IUY917530 IVF917530:JEU917530 JFB917530:JOQ917530 JOX917530:JYM917530 JYT917530:KII917530 KIP917530:KSE917530 KSL917530:LCA917530 LCH917530:LLW917530 LMD917530:LVS917530 LVZ917530:MFO917530 MFV917530:MPK917530 MPR917530:MZG917530 MZN917530:NJC917530 NJJ917530:NSY917530 NTF917530:OCU917530 ODB917530:OMQ917530 OMX917530:OWM917530 OWT917530:PGI917530 PGP917530:PQE917530 PQL917530:QAA917530 QAH917530:QJW917530 QKD917530:QTS917530 QTZ917530:RDO917530 RDV917530:RNK917530 RNR917530:RXG917530 RXN917530:SHC917530 SHJ917530:SQY917530 SRF917530:TAU917530 TBB917530:TKQ917530 TKX917530:TUM917530 TUT917530:UEI917530 UEP917530:UOE917530 UOL917530:UYA917530 UYH917530:VHW917530 VID917530:VRS917530 VRZ917530:WBO917530 WBV917530:WLK917530 WLR917530:WVG917530 WVN917530:XFD917530 F983066:IU983066 JB983066:SQ983066 SX983066:ACM983066 ACT983066:AMI983066 AMP983066:AWE983066 AWL983066:BGA983066 BGH983066:BPW983066 BQD983066:BZS983066 BZZ983066:CJO983066 CJV983066:CTK983066 CTR983066:DDG983066 DDN983066:DNC983066 DNJ983066:DWY983066 DXF983066:EGU983066 EHB983066:EQQ983066 EQX983066:FAM983066 FAT983066:FKI983066 FKP983066:FUE983066 FUL983066:GEA983066 GEH983066:GNW983066 GOD983066:GXS983066 GXZ983066:HHO983066 HHV983066:HRK983066 HRR983066:IBG983066 IBN983066:ILC983066 ILJ983066:IUY983066 IVF983066:JEU983066 JFB983066:JOQ983066 JOX983066:JYM983066 JYT983066:KII983066 KIP983066:KSE983066 KSL983066:LCA983066 LCH983066:LLW983066 LMD983066:LVS983066 LVZ983066:MFO983066 MFV983066:MPK983066 MPR983066:MZG983066 MZN983066:NJC983066 NJJ983066:NSY983066 NTF983066:OCU983066 ODB983066:OMQ983066 OMX983066:OWM983066 OWT983066:PGI983066 PGP983066:PQE983066 PQL983066:QAA983066 QAH983066:QJW983066 QKD983066:QTS983066 QTZ983066:RDO983066 RDV983066:RNK983066 RNR983066:RXG983066 RXN983066:SHC983066 SHJ983066:SQY983066 SRF983066:TAU983066 TBB983066:TKQ983066 TKX983066:TUM983066 TUT983066:UEI983066 UEP983066:UOE983066 UOL983066:UYA983066 UYH983066:VHW983066 VID983066:VRS983066 VRZ983066:WBO983066 WBV983066:WLK983066 WLR983066:WVG983066 WVN983066:XFD983066 A65545:A65558 IV65545:IW65558 SR65545:SS65558 ACN65545:ACO65558 AMJ65545:AMK65558 AWF65545:AWG65558 BGB65545:BGC65558 BPX65545:BPY65558 BZT65545:BZU65558 CJP65545:CJQ65558 CTL65545:CTM65558 DDH65545:DDI65558 DND65545:DNE65558 DWZ65545:DXA65558 EGV65545:EGW65558 EQR65545:EQS65558 FAN65545:FAO65558 FKJ65545:FKK65558 FUF65545:FUG65558 GEB65545:GEC65558 GNX65545:GNY65558 GXT65545:GXU65558 HHP65545:HHQ65558 HRL65545:HRM65558 IBH65545:IBI65558 ILD65545:ILE65558 IUZ65545:IVA65558 JEV65545:JEW65558 JOR65545:JOS65558 JYN65545:JYO65558 KIJ65545:KIK65558 KSF65545:KSG65558 LCB65545:LCC65558 LLX65545:LLY65558 LVT65545:LVU65558 MFP65545:MFQ65558 MPL65545:MPM65558 MZH65545:MZI65558 NJD65545:NJE65558 NSZ65545:NTA65558 OCV65545:OCW65558 OMR65545:OMS65558 OWN65545:OWO65558 PGJ65545:PGK65558 PQF65545:PQG65558 QAB65545:QAC65558 QJX65545:QJY65558 QTT65545:QTU65558 RDP65545:RDQ65558 RNL65545:RNM65558 RXH65545:RXI65558 SHD65545:SHE65558 SQZ65545:SRA65558 TAV65545:TAW65558 TKR65545:TKS65558 TUN65545:TUO65558 UEJ65545:UEK65558 UOF65545:UOG65558 UYB65545:UYC65558 VHX65545:VHY65558 VRT65545:VRU65558 WBP65545:WBQ65558 WLL65545:WLM65558 WVH65545:WVI65558 A131081:A131094 IV131081:IW131094 SR131081:SS131094 ACN131081:ACO131094 AMJ131081:AMK131094 AWF131081:AWG131094 BGB131081:BGC131094 BPX131081:BPY131094 BZT131081:BZU131094 CJP131081:CJQ131094 CTL131081:CTM131094 DDH131081:DDI131094 DND131081:DNE131094 DWZ131081:DXA131094 EGV131081:EGW131094 EQR131081:EQS131094 FAN131081:FAO131094 FKJ131081:FKK131094 FUF131081:FUG131094 GEB131081:GEC131094 GNX131081:GNY131094 GXT131081:GXU131094 HHP131081:HHQ131094 HRL131081:HRM131094 IBH131081:IBI131094 ILD131081:ILE131094 IUZ131081:IVA131094 JEV131081:JEW131094 JOR131081:JOS131094 JYN131081:JYO131094 KIJ131081:KIK131094 KSF131081:KSG131094 LCB131081:LCC131094 LLX131081:LLY131094 LVT131081:LVU131094 MFP131081:MFQ131094 MPL131081:MPM131094 MZH131081:MZI131094 NJD131081:NJE131094 NSZ131081:NTA131094 OCV131081:OCW131094 OMR131081:OMS131094 OWN131081:OWO131094 PGJ131081:PGK131094 PQF131081:PQG131094 QAB131081:QAC131094 QJX131081:QJY131094 QTT131081:QTU131094 RDP131081:RDQ131094 RNL131081:RNM131094 RXH131081:RXI131094 SHD131081:SHE131094 SQZ131081:SRA131094 TAV131081:TAW131094 TKR131081:TKS131094 TUN131081:TUO131094 UEJ131081:UEK131094 UOF131081:UOG131094 UYB131081:UYC131094 VHX131081:VHY131094 VRT131081:VRU131094 WBP131081:WBQ131094 WLL131081:WLM131094 WVH131081:WVI131094 A196617:A196630 IV196617:IW196630 SR196617:SS196630 ACN196617:ACO196630 AMJ196617:AMK196630 AWF196617:AWG196630 BGB196617:BGC196630 BPX196617:BPY196630 BZT196617:BZU196630 CJP196617:CJQ196630 CTL196617:CTM196630 DDH196617:DDI196630 DND196617:DNE196630 DWZ196617:DXA196630 EGV196617:EGW196630 EQR196617:EQS196630 FAN196617:FAO196630 FKJ196617:FKK196630 FUF196617:FUG196630 GEB196617:GEC196630 GNX196617:GNY196630 GXT196617:GXU196630 HHP196617:HHQ196630 HRL196617:HRM196630 IBH196617:IBI196630 ILD196617:ILE196630 IUZ196617:IVA196630 JEV196617:JEW196630 JOR196617:JOS196630 JYN196617:JYO196630 KIJ196617:KIK196630 KSF196617:KSG196630 LCB196617:LCC196630 LLX196617:LLY196630 LVT196617:LVU196630 MFP196617:MFQ196630 MPL196617:MPM196630 MZH196617:MZI196630 NJD196617:NJE196630 NSZ196617:NTA196630 OCV196617:OCW196630 OMR196617:OMS196630 OWN196617:OWO196630 PGJ196617:PGK196630 PQF196617:PQG196630 QAB196617:QAC196630 QJX196617:QJY196630 QTT196617:QTU196630 RDP196617:RDQ196630 RNL196617:RNM196630 RXH196617:RXI196630 SHD196617:SHE196630 SQZ196617:SRA196630 TAV196617:TAW196630 TKR196617:TKS196630 TUN196617:TUO196630 UEJ196617:UEK196630 UOF196617:UOG196630 UYB196617:UYC196630 VHX196617:VHY196630 VRT196617:VRU196630 WBP196617:WBQ196630 WLL196617:WLM196630 WVH196617:WVI196630 A262153:A262166 IV262153:IW262166 SR262153:SS262166 ACN262153:ACO262166 AMJ262153:AMK262166 AWF262153:AWG262166 BGB262153:BGC262166 BPX262153:BPY262166 BZT262153:BZU262166 CJP262153:CJQ262166 CTL262153:CTM262166 DDH262153:DDI262166 DND262153:DNE262166 DWZ262153:DXA262166 EGV262153:EGW262166 EQR262153:EQS262166 FAN262153:FAO262166 FKJ262153:FKK262166 FUF262153:FUG262166 GEB262153:GEC262166 GNX262153:GNY262166 GXT262153:GXU262166 HHP262153:HHQ262166 HRL262153:HRM262166 IBH262153:IBI262166 ILD262153:ILE262166 IUZ262153:IVA262166 JEV262153:JEW262166 JOR262153:JOS262166 JYN262153:JYO262166 KIJ262153:KIK262166 KSF262153:KSG262166 LCB262153:LCC262166 LLX262153:LLY262166 LVT262153:LVU262166 MFP262153:MFQ262166 MPL262153:MPM262166 MZH262153:MZI262166 NJD262153:NJE262166 NSZ262153:NTA262166 OCV262153:OCW262166 OMR262153:OMS262166 OWN262153:OWO262166 PGJ262153:PGK262166 PQF262153:PQG262166 QAB262153:QAC262166 QJX262153:QJY262166 QTT262153:QTU262166 RDP262153:RDQ262166 RNL262153:RNM262166 RXH262153:RXI262166 SHD262153:SHE262166 SQZ262153:SRA262166 TAV262153:TAW262166 TKR262153:TKS262166 TUN262153:TUO262166 UEJ262153:UEK262166 UOF262153:UOG262166 UYB262153:UYC262166 VHX262153:VHY262166 VRT262153:VRU262166 WBP262153:WBQ262166 WLL262153:WLM262166 WVH262153:WVI262166 A327689:A327702 IV327689:IW327702 SR327689:SS327702 ACN327689:ACO327702 AMJ327689:AMK327702 AWF327689:AWG327702 BGB327689:BGC327702 BPX327689:BPY327702 BZT327689:BZU327702 CJP327689:CJQ327702 CTL327689:CTM327702 DDH327689:DDI327702 DND327689:DNE327702 DWZ327689:DXA327702 EGV327689:EGW327702 EQR327689:EQS327702 FAN327689:FAO327702 FKJ327689:FKK327702 FUF327689:FUG327702 GEB327689:GEC327702 GNX327689:GNY327702 GXT327689:GXU327702 HHP327689:HHQ327702 HRL327689:HRM327702 IBH327689:IBI327702 ILD327689:ILE327702 IUZ327689:IVA327702 JEV327689:JEW327702 JOR327689:JOS327702 JYN327689:JYO327702 KIJ327689:KIK327702 KSF327689:KSG327702 LCB327689:LCC327702 LLX327689:LLY327702 LVT327689:LVU327702 MFP327689:MFQ327702 MPL327689:MPM327702 MZH327689:MZI327702 NJD327689:NJE327702 NSZ327689:NTA327702 OCV327689:OCW327702 OMR327689:OMS327702 OWN327689:OWO327702 PGJ327689:PGK327702 PQF327689:PQG327702 QAB327689:QAC327702 QJX327689:QJY327702 QTT327689:QTU327702 RDP327689:RDQ327702 RNL327689:RNM327702 RXH327689:RXI327702 SHD327689:SHE327702 SQZ327689:SRA327702 TAV327689:TAW327702 TKR327689:TKS327702 TUN327689:TUO327702 UEJ327689:UEK327702 UOF327689:UOG327702 UYB327689:UYC327702 VHX327689:VHY327702 VRT327689:VRU327702 WBP327689:WBQ327702 WLL327689:WLM327702 WVH327689:WVI327702 A393225:A393238 IV393225:IW393238 SR393225:SS393238 ACN393225:ACO393238 AMJ393225:AMK393238 AWF393225:AWG393238 BGB393225:BGC393238 BPX393225:BPY393238 BZT393225:BZU393238 CJP393225:CJQ393238 CTL393225:CTM393238 DDH393225:DDI393238 DND393225:DNE393238 DWZ393225:DXA393238 EGV393225:EGW393238 EQR393225:EQS393238 FAN393225:FAO393238 FKJ393225:FKK393238 FUF393225:FUG393238 GEB393225:GEC393238 GNX393225:GNY393238 GXT393225:GXU393238 HHP393225:HHQ393238 HRL393225:HRM393238 IBH393225:IBI393238 ILD393225:ILE393238 IUZ393225:IVA393238 JEV393225:JEW393238 JOR393225:JOS393238 JYN393225:JYO393238 KIJ393225:KIK393238 KSF393225:KSG393238 LCB393225:LCC393238 LLX393225:LLY393238 LVT393225:LVU393238 MFP393225:MFQ393238 MPL393225:MPM393238 MZH393225:MZI393238 NJD393225:NJE393238 NSZ393225:NTA393238 OCV393225:OCW393238 OMR393225:OMS393238 OWN393225:OWO393238 PGJ393225:PGK393238 PQF393225:PQG393238 QAB393225:QAC393238 QJX393225:QJY393238 QTT393225:QTU393238 RDP393225:RDQ393238 RNL393225:RNM393238 RXH393225:RXI393238 SHD393225:SHE393238 SQZ393225:SRA393238 TAV393225:TAW393238 TKR393225:TKS393238 TUN393225:TUO393238 UEJ393225:UEK393238 UOF393225:UOG393238 UYB393225:UYC393238 VHX393225:VHY393238 VRT393225:VRU393238 WBP393225:WBQ393238 WLL393225:WLM393238 WVH393225:WVI393238 A458761:A458774 IV458761:IW458774 SR458761:SS458774 ACN458761:ACO458774 AMJ458761:AMK458774 AWF458761:AWG458774 BGB458761:BGC458774 BPX458761:BPY458774 BZT458761:BZU458774 CJP458761:CJQ458774 CTL458761:CTM458774 DDH458761:DDI458774 DND458761:DNE458774 DWZ458761:DXA458774 EGV458761:EGW458774 EQR458761:EQS458774 FAN458761:FAO458774 FKJ458761:FKK458774 FUF458761:FUG458774 GEB458761:GEC458774 GNX458761:GNY458774 GXT458761:GXU458774 HHP458761:HHQ458774 HRL458761:HRM458774 IBH458761:IBI458774 ILD458761:ILE458774 IUZ458761:IVA458774 JEV458761:JEW458774 JOR458761:JOS458774 JYN458761:JYO458774 KIJ458761:KIK458774 KSF458761:KSG458774 LCB458761:LCC458774 LLX458761:LLY458774 LVT458761:LVU458774 MFP458761:MFQ458774 MPL458761:MPM458774 MZH458761:MZI458774 NJD458761:NJE458774 NSZ458761:NTA458774 OCV458761:OCW458774 OMR458761:OMS458774 OWN458761:OWO458774 PGJ458761:PGK458774 PQF458761:PQG458774 QAB458761:QAC458774 QJX458761:QJY458774 QTT458761:QTU458774 RDP458761:RDQ458774 RNL458761:RNM458774 RXH458761:RXI458774 SHD458761:SHE458774 SQZ458761:SRA458774 TAV458761:TAW458774 TKR458761:TKS458774 TUN458761:TUO458774 UEJ458761:UEK458774 UOF458761:UOG458774 UYB458761:UYC458774 VHX458761:VHY458774 VRT458761:VRU458774 WBP458761:WBQ458774 WLL458761:WLM458774 WVH458761:WVI458774 A524297:A524310 IV524297:IW524310 SR524297:SS524310 ACN524297:ACO524310 AMJ524297:AMK524310 AWF524297:AWG524310 BGB524297:BGC524310 BPX524297:BPY524310 BZT524297:BZU524310 CJP524297:CJQ524310 CTL524297:CTM524310 DDH524297:DDI524310 DND524297:DNE524310 DWZ524297:DXA524310 EGV524297:EGW524310 EQR524297:EQS524310 FAN524297:FAO524310 FKJ524297:FKK524310 FUF524297:FUG524310 GEB524297:GEC524310 GNX524297:GNY524310 GXT524297:GXU524310 HHP524297:HHQ524310 HRL524297:HRM524310 IBH524297:IBI524310 ILD524297:ILE524310 IUZ524297:IVA524310 JEV524297:JEW524310 JOR524297:JOS524310 JYN524297:JYO524310 KIJ524297:KIK524310 KSF524297:KSG524310 LCB524297:LCC524310 LLX524297:LLY524310 LVT524297:LVU524310 MFP524297:MFQ524310 MPL524297:MPM524310 MZH524297:MZI524310 NJD524297:NJE524310 NSZ524297:NTA524310 OCV524297:OCW524310 OMR524297:OMS524310 OWN524297:OWO524310 PGJ524297:PGK524310 PQF524297:PQG524310 QAB524297:QAC524310 QJX524297:QJY524310 QTT524297:QTU524310 RDP524297:RDQ524310 RNL524297:RNM524310 RXH524297:RXI524310 SHD524297:SHE524310 SQZ524297:SRA524310 TAV524297:TAW524310 TKR524297:TKS524310 TUN524297:TUO524310 UEJ524297:UEK524310 UOF524297:UOG524310 UYB524297:UYC524310 VHX524297:VHY524310 VRT524297:VRU524310 WBP524297:WBQ524310 WLL524297:WLM524310 WVH524297:WVI524310 A589833:A589846 IV589833:IW589846 SR589833:SS589846 ACN589833:ACO589846 AMJ589833:AMK589846 AWF589833:AWG589846 BGB589833:BGC589846 BPX589833:BPY589846 BZT589833:BZU589846 CJP589833:CJQ589846 CTL589833:CTM589846 DDH589833:DDI589846 DND589833:DNE589846 DWZ589833:DXA589846 EGV589833:EGW589846 EQR589833:EQS589846 FAN589833:FAO589846 FKJ589833:FKK589846 FUF589833:FUG589846 GEB589833:GEC589846 GNX589833:GNY589846 GXT589833:GXU589846 HHP589833:HHQ589846 HRL589833:HRM589846 IBH589833:IBI589846 ILD589833:ILE589846 IUZ589833:IVA589846 JEV589833:JEW589846 JOR589833:JOS589846 JYN589833:JYO589846 KIJ589833:KIK589846 KSF589833:KSG589846 LCB589833:LCC589846 LLX589833:LLY589846 LVT589833:LVU589846 MFP589833:MFQ589846 MPL589833:MPM589846 MZH589833:MZI589846 NJD589833:NJE589846 NSZ589833:NTA589846 OCV589833:OCW589846 OMR589833:OMS589846 OWN589833:OWO589846 PGJ589833:PGK589846 PQF589833:PQG589846 QAB589833:QAC589846 QJX589833:QJY589846 QTT589833:QTU589846 RDP589833:RDQ589846 RNL589833:RNM589846 RXH589833:RXI589846 SHD589833:SHE589846 SQZ589833:SRA589846 TAV589833:TAW589846 TKR589833:TKS589846 TUN589833:TUO589846 UEJ589833:UEK589846 UOF589833:UOG589846 UYB589833:UYC589846 VHX589833:VHY589846 VRT589833:VRU589846 WBP589833:WBQ589846 WLL589833:WLM589846 WVH589833:WVI589846 A655369:A655382 IV655369:IW655382 SR655369:SS655382 ACN655369:ACO655382 AMJ655369:AMK655382 AWF655369:AWG655382 BGB655369:BGC655382 BPX655369:BPY655382 BZT655369:BZU655382 CJP655369:CJQ655382 CTL655369:CTM655382 DDH655369:DDI655382 DND655369:DNE655382 DWZ655369:DXA655382 EGV655369:EGW655382 EQR655369:EQS655382 FAN655369:FAO655382 FKJ655369:FKK655382 FUF655369:FUG655382 GEB655369:GEC655382 GNX655369:GNY655382 GXT655369:GXU655382 HHP655369:HHQ655382 HRL655369:HRM655382 IBH655369:IBI655382 ILD655369:ILE655382 IUZ655369:IVA655382 JEV655369:JEW655382 JOR655369:JOS655382 JYN655369:JYO655382 KIJ655369:KIK655382 KSF655369:KSG655382 LCB655369:LCC655382 LLX655369:LLY655382 LVT655369:LVU655382 MFP655369:MFQ655382 MPL655369:MPM655382 MZH655369:MZI655382 NJD655369:NJE655382 NSZ655369:NTA655382 OCV655369:OCW655382 OMR655369:OMS655382 OWN655369:OWO655382 PGJ655369:PGK655382 PQF655369:PQG655382 QAB655369:QAC655382 QJX655369:QJY655382 QTT655369:QTU655382 RDP655369:RDQ655382 RNL655369:RNM655382 RXH655369:RXI655382 SHD655369:SHE655382 SQZ655369:SRA655382 TAV655369:TAW655382 TKR655369:TKS655382 TUN655369:TUO655382 UEJ655369:UEK655382 UOF655369:UOG655382 UYB655369:UYC655382 VHX655369:VHY655382 VRT655369:VRU655382 WBP655369:WBQ655382 WLL655369:WLM655382 WVH655369:WVI655382 A720905:A720918 IV720905:IW720918 SR720905:SS720918 ACN720905:ACO720918 AMJ720905:AMK720918 AWF720905:AWG720918 BGB720905:BGC720918 BPX720905:BPY720918 BZT720905:BZU720918 CJP720905:CJQ720918 CTL720905:CTM720918 DDH720905:DDI720918 DND720905:DNE720918 DWZ720905:DXA720918 EGV720905:EGW720918 EQR720905:EQS720918 FAN720905:FAO720918 FKJ720905:FKK720918 FUF720905:FUG720918 GEB720905:GEC720918 GNX720905:GNY720918 GXT720905:GXU720918 HHP720905:HHQ720918 HRL720905:HRM720918 IBH720905:IBI720918 ILD720905:ILE720918 IUZ720905:IVA720918 JEV720905:JEW720918 JOR720905:JOS720918 JYN720905:JYO720918 KIJ720905:KIK720918 KSF720905:KSG720918 LCB720905:LCC720918 LLX720905:LLY720918 LVT720905:LVU720918 MFP720905:MFQ720918 MPL720905:MPM720918 MZH720905:MZI720918 NJD720905:NJE720918 NSZ720905:NTA720918 OCV720905:OCW720918 OMR720905:OMS720918 OWN720905:OWO720918 PGJ720905:PGK720918 PQF720905:PQG720918 QAB720905:QAC720918 QJX720905:QJY720918 QTT720905:QTU720918 RDP720905:RDQ720918 RNL720905:RNM720918 RXH720905:RXI720918 SHD720905:SHE720918 SQZ720905:SRA720918 TAV720905:TAW720918 TKR720905:TKS720918 TUN720905:TUO720918 UEJ720905:UEK720918 UOF720905:UOG720918 UYB720905:UYC720918 VHX720905:VHY720918 VRT720905:VRU720918 WBP720905:WBQ720918 WLL720905:WLM720918 WVH720905:WVI720918 A786441:A786454 IV786441:IW786454 SR786441:SS786454 ACN786441:ACO786454 AMJ786441:AMK786454 AWF786441:AWG786454 BGB786441:BGC786454 BPX786441:BPY786454 BZT786441:BZU786454 CJP786441:CJQ786454 CTL786441:CTM786454 DDH786441:DDI786454 DND786441:DNE786454 DWZ786441:DXA786454 EGV786441:EGW786454 EQR786441:EQS786454 FAN786441:FAO786454 FKJ786441:FKK786454 FUF786441:FUG786454 GEB786441:GEC786454 GNX786441:GNY786454 GXT786441:GXU786454 HHP786441:HHQ786454 HRL786441:HRM786454 IBH786441:IBI786454 ILD786441:ILE786454 IUZ786441:IVA786454 JEV786441:JEW786454 JOR786441:JOS786454 JYN786441:JYO786454 KIJ786441:KIK786454 KSF786441:KSG786454 LCB786441:LCC786454 LLX786441:LLY786454 LVT786441:LVU786454 MFP786441:MFQ786454 MPL786441:MPM786454 MZH786441:MZI786454 NJD786441:NJE786454 NSZ786441:NTA786454 OCV786441:OCW786454 OMR786441:OMS786454 OWN786441:OWO786454 PGJ786441:PGK786454 PQF786441:PQG786454 QAB786441:QAC786454 QJX786441:QJY786454 QTT786441:QTU786454 RDP786441:RDQ786454 RNL786441:RNM786454 RXH786441:RXI786454 SHD786441:SHE786454 SQZ786441:SRA786454 TAV786441:TAW786454 TKR786441:TKS786454 TUN786441:TUO786454 UEJ786441:UEK786454 UOF786441:UOG786454 UYB786441:UYC786454 VHX786441:VHY786454 VRT786441:VRU786454 WBP786441:WBQ786454 WLL786441:WLM786454 WVH786441:WVI786454 A851977:A851990 IV851977:IW851990 SR851977:SS851990 ACN851977:ACO851990 AMJ851977:AMK851990 AWF851977:AWG851990 BGB851977:BGC851990 BPX851977:BPY851990 BZT851977:BZU851990 CJP851977:CJQ851990 CTL851977:CTM851990 DDH851977:DDI851990 DND851977:DNE851990 DWZ851977:DXA851990 EGV851977:EGW851990 EQR851977:EQS851990 FAN851977:FAO851990 FKJ851977:FKK851990 FUF851977:FUG851990 GEB851977:GEC851990 GNX851977:GNY851990 GXT851977:GXU851990 HHP851977:HHQ851990 HRL851977:HRM851990 IBH851977:IBI851990 ILD851977:ILE851990 IUZ851977:IVA851990 JEV851977:JEW851990 JOR851977:JOS851990 JYN851977:JYO851990 KIJ851977:KIK851990 KSF851977:KSG851990 LCB851977:LCC851990 LLX851977:LLY851990 LVT851977:LVU851990 MFP851977:MFQ851990 MPL851977:MPM851990 MZH851977:MZI851990 NJD851977:NJE851990 NSZ851977:NTA851990 OCV851977:OCW851990 OMR851977:OMS851990 OWN851977:OWO851990 PGJ851977:PGK851990 PQF851977:PQG851990 QAB851977:QAC851990 QJX851977:QJY851990 QTT851977:QTU851990 RDP851977:RDQ851990 RNL851977:RNM851990 RXH851977:RXI851990 SHD851977:SHE851990 SQZ851977:SRA851990 TAV851977:TAW851990 TKR851977:TKS851990 TUN851977:TUO851990 UEJ851977:UEK851990 UOF851977:UOG851990 UYB851977:UYC851990 VHX851977:VHY851990 VRT851977:VRU851990 WBP851977:WBQ851990 WLL851977:WLM851990 WVH851977:WVI851990 A917513:A917526 IV917513:IW917526 SR917513:SS917526 ACN917513:ACO917526 AMJ917513:AMK917526 AWF917513:AWG917526 BGB917513:BGC917526 BPX917513:BPY917526 BZT917513:BZU917526 CJP917513:CJQ917526 CTL917513:CTM917526 DDH917513:DDI917526 DND917513:DNE917526 DWZ917513:DXA917526 EGV917513:EGW917526 EQR917513:EQS917526 FAN917513:FAO917526 FKJ917513:FKK917526 FUF917513:FUG917526 GEB917513:GEC917526 GNX917513:GNY917526 GXT917513:GXU917526 HHP917513:HHQ917526 HRL917513:HRM917526 IBH917513:IBI917526 ILD917513:ILE917526 IUZ917513:IVA917526 JEV917513:JEW917526 JOR917513:JOS917526 JYN917513:JYO917526 KIJ917513:KIK917526 KSF917513:KSG917526 LCB917513:LCC917526 LLX917513:LLY917526 LVT917513:LVU917526 MFP917513:MFQ917526 MPL917513:MPM917526 MZH917513:MZI917526 NJD917513:NJE917526 NSZ917513:NTA917526 OCV917513:OCW917526 OMR917513:OMS917526 OWN917513:OWO917526 PGJ917513:PGK917526 PQF917513:PQG917526 QAB917513:QAC917526 QJX917513:QJY917526 QTT917513:QTU917526 RDP917513:RDQ917526 RNL917513:RNM917526 RXH917513:RXI917526 SHD917513:SHE917526 SQZ917513:SRA917526 TAV917513:TAW917526 TKR917513:TKS917526 TUN917513:TUO917526 UEJ917513:UEK917526 UOF917513:UOG917526 UYB917513:UYC917526 VHX917513:VHY917526 VRT917513:VRU917526 WBP917513:WBQ917526 WLL917513:WLM917526 WVH917513:WVI917526 A983049:A983062 IV983049:IW983062 SR983049:SS983062 ACN983049:ACO983062 AMJ983049:AMK983062 AWF983049:AWG983062 BGB983049:BGC983062 BPX983049:BPY983062 BZT983049:BZU983062 CJP983049:CJQ983062 CTL983049:CTM983062 DDH983049:DDI983062 DND983049:DNE983062 DWZ983049:DXA983062 EGV983049:EGW983062 EQR983049:EQS983062 FAN983049:FAO983062 FKJ983049:FKK983062 FUF983049:FUG983062 GEB983049:GEC983062 GNX983049:GNY983062 GXT983049:GXU983062 HHP983049:HHQ983062 HRL983049:HRM983062 IBH983049:IBI983062 ILD983049:ILE983062 IUZ983049:IVA983062 JEV983049:JEW983062 JOR983049:JOS983062 JYN983049:JYO983062 KIJ983049:KIK983062 KSF983049:KSG983062 LCB983049:LCC983062 LLX983049:LLY983062 LVT983049:LVU983062 MFP983049:MFQ983062 MPL983049:MPM983062 MZH983049:MZI983062 NJD983049:NJE983062 NSZ983049:NTA983062 OCV983049:OCW983062 OMR983049:OMS983062 OWN983049:OWO983062 PGJ983049:PGK983062 PQF983049:PQG983062 QAB983049:QAC983062 QJX983049:QJY983062 QTT983049:QTU983062 RDP983049:RDQ983062 RNL983049:RNM983062 RXH983049:RXI983062 SHD983049:SHE983062 SQZ983049:SRA983062 TAV983049:TAW983062 TKR983049:TKS983062 TUN983049:TUO983062 UEJ983049:UEK983062 UOF983049:UOG983062 UYB983049:UYC983062 VHX983049:VHY983062 VRT983049:VRU983062 WBP983049:WBQ983062 WLL983049:WLM983062 WVH983049:WVI983062 JA11:SQ12 SW11:ACM12 ACS11:AMI12 AMO11:AWE12 AWK11:BGA12 BGG11:BPW12 BQC11:BZS12 BZY11:CJO12 CJU11:CTK12 CTQ11:DDG12 DDM11:DNC12 DNI11:DWY12 DXE11:EGU12 EHA11:EQQ12 EQW11:FAM12 FAS11:FKI12 FKO11:FUE12 FUK11:GEA12 GEG11:GNW12 GOC11:GXS12 GXY11:HHO12 HHU11:HRK12 HRQ11:IBG12 IBM11:ILC12 ILI11:IUY12 IVE11:JEU12 JFA11:JOQ12 JOW11:JYM12 JYS11:KII12 KIO11:KSE12 KSK11:LCA12 LCG11:LLW12 LMC11:LVS12 LVY11:MFO12 MFU11:MPK12 MPQ11:MZG12 MZM11:NJC12 NJI11:NSY12 NTE11:OCU12 ODA11:OMQ12 OMW11:OWM12 OWS11:PGI12 PGO11:PQE12 PQK11:QAA12 QAG11:QJW12 QKC11:QTS12 QTY11:RDO12 RDU11:RNK12 RNQ11:RXG12 RXM11:SHC12 SHI11:SQY12 SRE11:TAU12 TBA11:TKQ12 TKW11:TUM12 TUS11:UEI12 UEO11:UOE12 UOK11:UYA12 UYG11:VHW12 VIC11:VRS12 VRY11:WBO12 WBU11:WLK12 WLQ11:WVG12 WVM11:XFD12 JA65545:SQ65546 SW65545:ACM65546 ACS65545:AMI65546 AMO65545:AWE65546 AWK65545:BGA65546 BGG65545:BPW65546 BQC65545:BZS65546 BZY65545:CJO65546 CJU65545:CTK65546 CTQ65545:DDG65546 DDM65545:DNC65546 DNI65545:DWY65546 DXE65545:EGU65546 EHA65545:EQQ65546 EQW65545:FAM65546 FAS65545:FKI65546 FKO65545:FUE65546 FUK65545:GEA65546 GEG65545:GNW65546 GOC65545:GXS65546 GXY65545:HHO65546 HHU65545:HRK65546 HRQ65545:IBG65546 IBM65545:ILC65546 ILI65545:IUY65546 IVE65545:JEU65546 JFA65545:JOQ65546 JOW65545:JYM65546 JYS65545:KII65546 KIO65545:KSE65546 KSK65545:LCA65546 LCG65545:LLW65546 LMC65545:LVS65546 LVY65545:MFO65546 MFU65545:MPK65546 MPQ65545:MZG65546 MZM65545:NJC65546 NJI65545:NSY65546 NTE65545:OCU65546 ODA65545:OMQ65546 OMW65545:OWM65546 OWS65545:PGI65546 PGO65545:PQE65546 PQK65545:QAA65546 QAG65545:QJW65546 QKC65545:QTS65546 QTY65545:RDO65546 RDU65545:RNK65546 RNQ65545:RXG65546 RXM65545:SHC65546 SHI65545:SQY65546 SRE65545:TAU65546 TBA65545:TKQ65546 TKW65545:TUM65546 TUS65545:UEI65546 UEO65545:UOE65546 UOK65545:UYA65546 UYG65545:VHW65546 VIC65545:VRS65546 VRY65545:WBO65546 WBU65545:WLK65546 WLQ65545:WVG65546 WVM65545:XFD65546 JA131081:SQ131082 SW131081:ACM131082 ACS131081:AMI131082 AMO131081:AWE131082 AWK131081:BGA131082 BGG131081:BPW131082 BQC131081:BZS131082 BZY131081:CJO131082 CJU131081:CTK131082 CTQ131081:DDG131082 DDM131081:DNC131082 DNI131081:DWY131082 DXE131081:EGU131082 EHA131081:EQQ131082 EQW131081:FAM131082 FAS131081:FKI131082 FKO131081:FUE131082 FUK131081:GEA131082 GEG131081:GNW131082 GOC131081:GXS131082 GXY131081:HHO131082 HHU131081:HRK131082 HRQ131081:IBG131082 IBM131081:ILC131082 ILI131081:IUY131082 IVE131081:JEU131082 JFA131081:JOQ131082 JOW131081:JYM131082 JYS131081:KII131082 KIO131081:KSE131082 KSK131081:LCA131082 LCG131081:LLW131082 LMC131081:LVS131082 LVY131081:MFO131082 MFU131081:MPK131082 MPQ131081:MZG131082 MZM131081:NJC131082 NJI131081:NSY131082 NTE131081:OCU131082 ODA131081:OMQ131082 OMW131081:OWM131082 OWS131081:PGI131082 PGO131081:PQE131082 PQK131081:QAA131082 QAG131081:QJW131082 QKC131081:QTS131082 QTY131081:RDO131082 RDU131081:RNK131082 RNQ131081:RXG131082 RXM131081:SHC131082 SHI131081:SQY131082 SRE131081:TAU131082 TBA131081:TKQ131082 TKW131081:TUM131082 TUS131081:UEI131082 UEO131081:UOE131082 UOK131081:UYA131082 UYG131081:VHW131082 VIC131081:VRS131082 VRY131081:WBO131082 WBU131081:WLK131082 WLQ131081:WVG131082 WVM131081:XFD131082 JA196617:SQ196618 SW196617:ACM196618 ACS196617:AMI196618 AMO196617:AWE196618 AWK196617:BGA196618 BGG196617:BPW196618 BQC196617:BZS196618 BZY196617:CJO196618 CJU196617:CTK196618 CTQ196617:DDG196618 DDM196617:DNC196618 DNI196617:DWY196618 DXE196617:EGU196618 EHA196617:EQQ196618 EQW196617:FAM196618 FAS196617:FKI196618 FKO196617:FUE196618 FUK196617:GEA196618 GEG196617:GNW196618 GOC196617:GXS196618 GXY196617:HHO196618 HHU196617:HRK196618 HRQ196617:IBG196618 IBM196617:ILC196618 ILI196617:IUY196618 IVE196617:JEU196618 JFA196617:JOQ196618 JOW196617:JYM196618 JYS196617:KII196618 KIO196617:KSE196618 KSK196617:LCA196618 LCG196617:LLW196618 LMC196617:LVS196618 LVY196617:MFO196618 MFU196617:MPK196618 MPQ196617:MZG196618 MZM196617:NJC196618 NJI196617:NSY196618 NTE196617:OCU196618 ODA196617:OMQ196618 OMW196617:OWM196618 OWS196617:PGI196618 PGO196617:PQE196618 PQK196617:QAA196618 QAG196617:QJW196618 QKC196617:QTS196618 QTY196617:RDO196618 RDU196617:RNK196618 RNQ196617:RXG196618 RXM196617:SHC196618 SHI196617:SQY196618 SRE196617:TAU196618 TBA196617:TKQ196618 TKW196617:TUM196618 TUS196617:UEI196618 UEO196617:UOE196618 UOK196617:UYA196618 UYG196617:VHW196618 VIC196617:VRS196618 VRY196617:WBO196618 WBU196617:WLK196618 WLQ196617:WVG196618 WVM196617:XFD196618 JA262153:SQ262154 SW262153:ACM262154 ACS262153:AMI262154 AMO262153:AWE262154 AWK262153:BGA262154 BGG262153:BPW262154 BQC262153:BZS262154 BZY262153:CJO262154 CJU262153:CTK262154 CTQ262153:DDG262154 DDM262153:DNC262154 DNI262153:DWY262154 DXE262153:EGU262154 EHA262153:EQQ262154 EQW262153:FAM262154 FAS262153:FKI262154 FKO262153:FUE262154 FUK262153:GEA262154 GEG262153:GNW262154 GOC262153:GXS262154 GXY262153:HHO262154 HHU262153:HRK262154 HRQ262153:IBG262154 IBM262153:ILC262154 ILI262153:IUY262154 IVE262153:JEU262154 JFA262153:JOQ262154 JOW262153:JYM262154 JYS262153:KII262154 KIO262153:KSE262154 KSK262153:LCA262154 LCG262153:LLW262154 LMC262153:LVS262154 LVY262153:MFO262154 MFU262153:MPK262154 MPQ262153:MZG262154 MZM262153:NJC262154 NJI262153:NSY262154 NTE262153:OCU262154 ODA262153:OMQ262154 OMW262153:OWM262154 OWS262153:PGI262154 PGO262153:PQE262154 PQK262153:QAA262154 QAG262153:QJW262154 QKC262153:QTS262154 QTY262153:RDO262154 RDU262153:RNK262154 RNQ262153:RXG262154 RXM262153:SHC262154 SHI262153:SQY262154 SRE262153:TAU262154 TBA262153:TKQ262154 TKW262153:TUM262154 TUS262153:UEI262154 UEO262153:UOE262154 UOK262153:UYA262154 UYG262153:VHW262154 VIC262153:VRS262154 VRY262153:WBO262154 WBU262153:WLK262154 WLQ262153:WVG262154 WVM262153:XFD262154 JA327689:SQ327690 SW327689:ACM327690 ACS327689:AMI327690 AMO327689:AWE327690 AWK327689:BGA327690 BGG327689:BPW327690 BQC327689:BZS327690 BZY327689:CJO327690 CJU327689:CTK327690 CTQ327689:DDG327690 DDM327689:DNC327690 DNI327689:DWY327690 DXE327689:EGU327690 EHA327689:EQQ327690 EQW327689:FAM327690 FAS327689:FKI327690 FKO327689:FUE327690 FUK327689:GEA327690 GEG327689:GNW327690 GOC327689:GXS327690 GXY327689:HHO327690 HHU327689:HRK327690 HRQ327689:IBG327690 IBM327689:ILC327690 ILI327689:IUY327690 IVE327689:JEU327690 JFA327689:JOQ327690 JOW327689:JYM327690 JYS327689:KII327690 KIO327689:KSE327690 KSK327689:LCA327690 LCG327689:LLW327690 LMC327689:LVS327690 LVY327689:MFO327690 MFU327689:MPK327690 MPQ327689:MZG327690 MZM327689:NJC327690 NJI327689:NSY327690 NTE327689:OCU327690 ODA327689:OMQ327690 OMW327689:OWM327690 OWS327689:PGI327690 PGO327689:PQE327690 PQK327689:QAA327690 QAG327689:QJW327690 QKC327689:QTS327690 QTY327689:RDO327690 RDU327689:RNK327690 RNQ327689:RXG327690 RXM327689:SHC327690 SHI327689:SQY327690 SRE327689:TAU327690 TBA327689:TKQ327690 TKW327689:TUM327690 TUS327689:UEI327690 UEO327689:UOE327690 UOK327689:UYA327690 UYG327689:VHW327690 VIC327689:VRS327690 VRY327689:WBO327690 WBU327689:WLK327690 WLQ327689:WVG327690 WVM327689:XFD327690 JA393225:SQ393226 SW393225:ACM393226 ACS393225:AMI393226 AMO393225:AWE393226 AWK393225:BGA393226 BGG393225:BPW393226 BQC393225:BZS393226 BZY393225:CJO393226 CJU393225:CTK393226 CTQ393225:DDG393226 DDM393225:DNC393226 DNI393225:DWY393226 DXE393225:EGU393226 EHA393225:EQQ393226 EQW393225:FAM393226 FAS393225:FKI393226 FKO393225:FUE393226 FUK393225:GEA393226 GEG393225:GNW393226 GOC393225:GXS393226 GXY393225:HHO393226 HHU393225:HRK393226 HRQ393225:IBG393226 IBM393225:ILC393226 ILI393225:IUY393226 IVE393225:JEU393226 JFA393225:JOQ393226 JOW393225:JYM393226 JYS393225:KII393226 KIO393225:KSE393226 KSK393225:LCA393226 LCG393225:LLW393226 LMC393225:LVS393226 LVY393225:MFO393226 MFU393225:MPK393226 MPQ393225:MZG393226 MZM393225:NJC393226 NJI393225:NSY393226 NTE393225:OCU393226 ODA393225:OMQ393226 OMW393225:OWM393226 OWS393225:PGI393226 PGO393225:PQE393226 PQK393225:QAA393226 QAG393225:QJW393226 QKC393225:QTS393226 QTY393225:RDO393226 RDU393225:RNK393226 RNQ393225:RXG393226 RXM393225:SHC393226 SHI393225:SQY393226 SRE393225:TAU393226 TBA393225:TKQ393226 TKW393225:TUM393226 TUS393225:UEI393226 UEO393225:UOE393226 UOK393225:UYA393226 UYG393225:VHW393226 VIC393225:VRS393226 VRY393225:WBO393226 WBU393225:WLK393226 WLQ393225:WVG393226 WVM393225:XFD393226 JA458761:SQ458762 SW458761:ACM458762 ACS458761:AMI458762 AMO458761:AWE458762 AWK458761:BGA458762 BGG458761:BPW458762 BQC458761:BZS458762 BZY458761:CJO458762 CJU458761:CTK458762 CTQ458761:DDG458762 DDM458761:DNC458762 DNI458761:DWY458762 DXE458761:EGU458762 EHA458761:EQQ458762 EQW458761:FAM458762 FAS458761:FKI458762 FKO458761:FUE458762 FUK458761:GEA458762 GEG458761:GNW458762 GOC458761:GXS458762 GXY458761:HHO458762 HHU458761:HRK458762 HRQ458761:IBG458762 IBM458761:ILC458762 ILI458761:IUY458762 IVE458761:JEU458762 JFA458761:JOQ458762 JOW458761:JYM458762 JYS458761:KII458762 KIO458761:KSE458762 KSK458761:LCA458762 LCG458761:LLW458762 LMC458761:LVS458762 LVY458761:MFO458762 MFU458761:MPK458762 MPQ458761:MZG458762 MZM458761:NJC458762 NJI458761:NSY458762 NTE458761:OCU458762 ODA458761:OMQ458762 OMW458761:OWM458762 OWS458761:PGI458762 PGO458761:PQE458762 PQK458761:QAA458762 QAG458761:QJW458762 QKC458761:QTS458762 QTY458761:RDO458762 RDU458761:RNK458762 RNQ458761:RXG458762 RXM458761:SHC458762 SHI458761:SQY458762 SRE458761:TAU458762 TBA458761:TKQ458762 TKW458761:TUM458762 TUS458761:UEI458762 UEO458761:UOE458762 UOK458761:UYA458762 UYG458761:VHW458762 VIC458761:VRS458762 VRY458761:WBO458762 WBU458761:WLK458762 WLQ458761:WVG458762 WVM458761:XFD458762 JA524297:SQ524298 SW524297:ACM524298 ACS524297:AMI524298 AMO524297:AWE524298 AWK524297:BGA524298 BGG524297:BPW524298 BQC524297:BZS524298 BZY524297:CJO524298 CJU524297:CTK524298 CTQ524297:DDG524298 DDM524297:DNC524298 DNI524297:DWY524298 DXE524297:EGU524298 EHA524297:EQQ524298 EQW524297:FAM524298 FAS524297:FKI524298 FKO524297:FUE524298 FUK524297:GEA524298 GEG524297:GNW524298 GOC524297:GXS524298 GXY524297:HHO524298 HHU524297:HRK524298 HRQ524297:IBG524298 IBM524297:ILC524298 ILI524297:IUY524298 IVE524297:JEU524298 JFA524297:JOQ524298 JOW524297:JYM524298 JYS524297:KII524298 KIO524297:KSE524298 KSK524297:LCA524298 LCG524297:LLW524298 LMC524297:LVS524298 LVY524297:MFO524298 MFU524297:MPK524298 MPQ524297:MZG524298 MZM524297:NJC524298 NJI524297:NSY524298 NTE524297:OCU524298 ODA524297:OMQ524298 OMW524297:OWM524298 OWS524297:PGI524298 PGO524297:PQE524298 PQK524297:QAA524298 QAG524297:QJW524298 QKC524297:QTS524298 QTY524297:RDO524298 RDU524297:RNK524298 RNQ524297:RXG524298 RXM524297:SHC524298 SHI524297:SQY524298 SRE524297:TAU524298 TBA524297:TKQ524298 TKW524297:TUM524298 TUS524297:UEI524298 UEO524297:UOE524298 UOK524297:UYA524298 UYG524297:VHW524298 VIC524297:VRS524298 VRY524297:WBO524298 WBU524297:WLK524298 WLQ524297:WVG524298 WVM524297:XFD524298 JA589833:SQ589834 SW589833:ACM589834 ACS589833:AMI589834 AMO589833:AWE589834 AWK589833:BGA589834 BGG589833:BPW589834 BQC589833:BZS589834 BZY589833:CJO589834 CJU589833:CTK589834 CTQ589833:DDG589834 DDM589833:DNC589834 DNI589833:DWY589834 DXE589833:EGU589834 EHA589833:EQQ589834 EQW589833:FAM589834 FAS589833:FKI589834 FKO589833:FUE589834 FUK589833:GEA589834 GEG589833:GNW589834 GOC589833:GXS589834 GXY589833:HHO589834 HHU589833:HRK589834 HRQ589833:IBG589834 IBM589833:ILC589834 ILI589833:IUY589834 IVE589833:JEU589834 JFA589833:JOQ589834 JOW589833:JYM589834 JYS589833:KII589834 KIO589833:KSE589834 KSK589833:LCA589834 LCG589833:LLW589834 LMC589833:LVS589834 LVY589833:MFO589834 MFU589833:MPK589834 MPQ589833:MZG589834 MZM589833:NJC589834 NJI589833:NSY589834 NTE589833:OCU589834 ODA589833:OMQ589834 OMW589833:OWM589834 OWS589833:PGI589834 PGO589833:PQE589834 PQK589833:QAA589834 QAG589833:QJW589834 QKC589833:QTS589834 QTY589833:RDO589834 RDU589833:RNK589834 RNQ589833:RXG589834 RXM589833:SHC589834 SHI589833:SQY589834 SRE589833:TAU589834 TBA589833:TKQ589834 TKW589833:TUM589834 TUS589833:UEI589834 UEO589833:UOE589834 UOK589833:UYA589834 UYG589833:VHW589834 VIC589833:VRS589834 VRY589833:WBO589834 WBU589833:WLK589834 WLQ589833:WVG589834 WVM589833:XFD589834 JA655369:SQ655370 SW655369:ACM655370 ACS655369:AMI655370 AMO655369:AWE655370 AWK655369:BGA655370 BGG655369:BPW655370 BQC655369:BZS655370 BZY655369:CJO655370 CJU655369:CTK655370 CTQ655369:DDG655370 DDM655369:DNC655370 DNI655369:DWY655370 DXE655369:EGU655370 EHA655369:EQQ655370 EQW655369:FAM655370 FAS655369:FKI655370 FKO655369:FUE655370 FUK655369:GEA655370 GEG655369:GNW655370 GOC655369:GXS655370 GXY655369:HHO655370 HHU655369:HRK655370 HRQ655369:IBG655370 IBM655369:ILC655370 ILI655369:IUY655370 IVE655369:JEU655370 JFA655369:JOQ655370 JOW655369:JYM655370 JYS655369:KII655370 KIO655369:KSE655370 KSK655369:LCA655370 LCG655369:LLW655370 LMC655369:LVS655370 LVY655369:MFO655370 MFU655369:MPK655370 MPQ655369:MZG655370 MZM655369:NJC655370 NJI655369:NSY655370 NTE655369:OCU655370 ODA655369:OMQ655370 OMW655369:OWM655370 OWS655369:PGI655370 PGO655369:PQE655370 PQK655369:QAA655370 QAG655369:QJW655370 QKC655369:QTS655370 QTY655369:RDO655370 RDU655369:RNK655370 RNQ655369:RXG655370 RXM655369:SHC655370 SHI655369:SQY655370 SRE655369:TAU655370 TBA655369:TKQ655370 TKW655369:TUM655370 TUS655369:UEI655370 UEO655369:UOE655370 UOK655369:UYA655370 UYG655369:VHW655370 VIC655369:VRS655370 VRY655369:WBO655370 WBU655369:WLK655370 WLQ655369:WVG655370 WVM655369:XFD655370 JA720905:SQ720906 SW720905:ACM720906 ACS720905:AMI720906 AMO720905:AWE720906 AWK720905:BGA720906 BGG720905:BPW720906 BQC720905:BZS720906 BZY720905:CJO720906 CJU720905:CTK720906 CTQ720905:DDG720906 DDM720905:DNC720906 DNI720905:DWY720906 DXE720905:EGU720906 EHA720905:EQQ720906 EQW720905:FAM720906 FAS720905:FKI720906 FKO720905:FUE720906 FUK720905:GEA720906 GEG720905:GNW720906 GOC720905:GXS720906 GXY720905:HHO720906 HHU720905:HRK720906 HRQ720905:IBG720906 IBM720905:ILC720906 ILI720905:IUY720906 IVE720905:JEU720906 JFA720905:JOQ720906 JOW720905:JYM720906 JYS720905:KII720906 KIO720905:KSE720906 KSK720905:LCA720906 LCG720905:LLW720906 LMC720905:LVS720906 LVY720905:MFO720906 MFU720905:MPK720906 MPQ720905:MZG720906 MZM720905:NJC720906 NJI720905:NSY720906 NTE720905:OCU720906 ODA720905:OMQ720906 OMW720905:OWM720906 OWS720905:PGI720906 PGO720905:PQE720906 PQK720905:QAA720906 QAG720905:QJW720906 QKC720905:QTS720906 QTY720905:RDO720906 RDU720905:RNK720906 RNQ720905:RXG720906 RXM720905:SHC720906 SHI720905:SQY720906 SRE720905:TAU720906 TBA720905:TKQ720906 TKW720905:TUM720906 TUS720905:UEI720906 UEO720905:UOE720906 UOK720905:UYA720906 UYG720905:VHW720906 VIC720905:VRS720906 VRY720905:WBO720906 WBU720905:WLK720906 WLQ720905:WVG720906 WVM720905:XFD720906 JA786441:SQ786442 SW786441:ACM786442 ACS786441:AMI786442 AMO786441:AWE786442 AWK786441:BGA786442 BGG786441:BPW786442 BQC786441:BZS786442 BZY786441:CJO786442 CJU786441:CTK786442 CTQ786441:DDG786442 DDM786441:DNC786442 DNI786441:DWY786442 DXE786441:EGU786442 EHA786441:EQQ786442 EQW786441:FAM786442 FAS786441:FKI786442 FKO786441:FUE786442 FUK786441:GEA786442 GEG786441:GNW786442 GOC786441:GXS786442 GXY786441:HHO786442 HHU786441:HRK786442 HRQ786441:IBG786442 IBM786441:ILC786442 ILI786441:IUY786442 IVE786441:JEU786442 JFA786441:JOQ786442 JOW786441:JYM786442 JYS786441:KII786442 KIO786441:KSE786442 KSK786441:LCA786442 LCG786441:LLW786442 LMC786441:LVS786442 LVY786441:MFO786442 MFU786441:MPK786442 MPQ786441:MZG786442 MZM786441:NJC786442 NJI786441:NSY786442 NTE786441:OCU786442 ODA786441:OMQ786442 OMW786441:OWM786442 OWS786441:PGI786442 PGO786441:PQE786442 PQK786441:QAA786442 QAG786441:QJW786442 QKC786441:QTS786442 QTY786441:RDO786442 RDU786441:RNK786442 RNQ786441:RXG786442 RXM786441:SHC786442 SHI786441:SQY786442 SRE786441:TAU786442 TBA786441:TKQ786442 TKW786441:TUM786442 TUS786441:UEI786442 UEO786441:UOE786442 UOK786441:UYA786442 UYG786441:VHW786442 VIC786441:VRS786442 VRY786441:WBO786442 WBU786441:WLK786442 WLQ786441:WVG786442 WVM786441:XFD786442 JA851977:SQ851978 SW851977:ACM851978 ACS851977:AMI851978 AMO851977:AWE851978 AWK851977:BGA851978 BGG851977:BPW851978 BQC851977:BZS851978 BZY851977:CJO851978 CJU851977:CTK851978 CTQ851977:DDG851978 DDM851977:DNC851978 DNI851977:DWY851978 DXE851977:EGU851978 EHA851977:EQQ851978 EQW851977:FAM851978 FAS851977:FKI851978 FKO851977:FUE851978 FUK851977:GEA851978 GEG851977:GNW851978 GOC851977:GXS851978 GXY851977:HHO851978 HHU851977:HRK851978 HRQ851977:IBG851978 IBM851977:ILC851978 ILI851977:IUY851978 IVE851977:JEU851978 JFA851977:JOQ851978 JOW851977:JYM851978 JYS851977:KII851978 KIO851977:KSE851978 KSK851977:LCA851978 LCG851977:LLW851978 LMC851977:LVS851978 LVY851977:MFO851978 MFU851977:MPK851978 MPQ851977:MZG851978 MZM851977:NJC851978 NJI851977:NSY851978 NTE851977:OCU851978 ODA851977:OMQ851978 OMW851977:OWM851978 OWS851977:PGI851978 PGO851977:PQE851978 PQK851977:QAA851978 QAG851977:QJW851978 QKC851977:QTS851978 QTY851977:RDO851978 RDU851977:RNK851978 RNQ851977:RXG851978 RXM851977:SHC851978 SHI851977:SQY851978 SRE851977:TAU851978 TBA851977:TKQ851978 TKW851977:TUM851978 TUS851977:UEI851978 UEO851977:UOE851978 UOK851977:UYA851978 UYG851977:VHW851978 VIC851977:VRS851978 VRY851977:WBO851978 WBU851977:WLK851978 WLQ851977:WVG851978 WVM851977:XFD851978 JA917513:SQ917514 SW917513:ACM917514 ACS917513:AMI917514 AMO917513:AWE917514 AWK917513:BGA917514 BGG917513:BPW917514 BQC917513:BZS917514 BZY917513:CJO917514 CJU917513:CTK917514 CTQ917513:DDG917514 DDM917513:DNC917514 DNI917513:DWY917514 DXE917513:EGU917514 EHA917513:EQQ917514 EQW917513:FAM917514 FAS917513:FKI917514 FKO917513:FUE917514 FUK917513:GEA917514 GEG917513:GNW917514 GOC917513:GXS917514 GXY917513:HHO917514 HHU917513:HRK917514 HRQ917513:IBG917514 IBM917513:ILC917514 ILI917513:IUY917514 IVE917513:JEU917514 JFA917513:JOQ917514 JOW917513:JYM917514 JYS917513:KII917514 KIO917513:KSE917514 KSK917513:LCA917514 LCG917513:LLW917514 LMC917513:LVS917514 LVY917513:MFO917514 MFU917513:MPK917514 MPQ917513:MZG917514 MZM917513:NJC917514 NJI917513:NSY917514 NTE917513:OCU917514 ODA917513:OMQ917514 OMW917513:OWM917514 OWS917513:PGI917514 PGO917513:PQE917514 PQK917513:QAA917514 QAG917513:QJW917514 QKC917513:QTS917514 QTY917513:RDO917514 RDU917513:RNK917514 RNQ917513:RXG917514 RXM917513:SHC917514 SHI917513:SQY917514 SRE917513:TAU917514 TBA917513:TKQ917514 TKW917513:TUM917514 TUS917513:UEI917514 UEO917513:UOE917514 UOK917513:UYA917514 UYG917513:VHW917514 VIC917513:VRS917514 VRY917513:WBO917514 WBU917513:WLK917514 WLQ917513:WVG917514 WVM917513:XFD917514 JA983049:SQ983050 SW983049:ACM983050 ACS983049:AMI983050 AMO983049:AWE983050 AWK983049:BGA983050 BGG983049:BPW983050 BQC983049:BZS983050 BZY983049:CJO983050 CJU983049:CTK983050 CTQ983049:DDG983050 DDM983049:DNC983050 DNI983049:DWY983050 DXE983049:EGU983050 EHA983049:EQQ983050 EQW983049:FAM983050 FAS983049:FKI983050 FKO983049:FUE983050 FUK983049:GEA983050 GEG983049:GNW983050 GOC983049:GXS983050 GXY983049:HHO983050 HHU983049:HRK983050 HRQ983049:IBG983050 IBM983049:ILC983050 ILI983049:IUY983050 IVE983049:JEU983050 JFA983049:JOQ983050 JOW983049:JYM983050 JYS983049:KII983050 KIO983049:KSE983050 KSK983049:LCA983050 LCG983049:LLW983050 LMC983049:LVS983050 LVY983049:MFO983050 MFU983049:MPK983050 MPQ983049:MZG983050 MZM983049:NJC983050 NJI983049:NSY983050 NTE983049:OCU983050 ODA983049:OMQ983050 OMW983049:OWM983050 OWS983049:PGI983050 PGO983049:PQE983050 PQK983049:QAA983050 QAG983049:QJW983050 QKC983049:QTS983050 QTY983049:RDO983050 RDU983049:RNK983050 RNQ983049:RXG983050 RXM983049:SHC983050 SHI983049:SQY983050 SRE983049:TAU983050 TBA983049:TKQ983050 TKW983049:TUM983050 TUS983049:UEI983050 UEO983049:UOE983050 UOK983049:UYA983050 UYG983049:VHW983050 VIC983049:VRS983050 VRY983049:WBO983050 WBU983049:WLK983050 WLQ983049:WVG983050 WVM983049:XFD983050 B11:E11 IX11:IZ11 ST11:SV11 ACP11:ACR11 AML11:AMN11 AWH11:AWJ11 BGD11:BGF11 BPZ11:BQB11 BZV11:BZX11 CJR11:CJT11 CTN11:CTP11 DDJ11:DDL11 DNF11:DNH11 DXB11:DXD11 EGX11:EGZ11 EQT11:EQV11 FAP11:FAR11 FKL11:FKN11 FUH11:FUJ11 GED11:GEF11 GNZ11:GOB11 GXV11:GXX11 HHR11:HHT11 HRN11:HRP11 IBJ11:IBL11 ILF11:ILH11 IVB11:IVD11 JEX11:JEZ11 JOT11:JOV11 JYP11:JYR11 KIL11:KIN11 KSH11:KSJ11 LCD11:LCF11 LLZ11:LMB11 LVV11:LVX11 MFR11:MFT11 MPN11:MPP11 MZJ11:MZL11 NJF11:NJH11 NTB11:NTD11 OCX11:OCZ11 OMT11:OMV11 OWP11:OWR11 PGL11:PGN11 PQH11:PQJ11 QAD11:QAF11 QJZ11:QKB11 QTV11:QTX11 RDR11:RDT11 RNN11:RNP11 RXJ11:RXL11 SHF11:SHH11 SRB11:SRD11 TAX11:TAZ11 TKT11:TKV11 TUP11:TUR11 UEL11:UEN11 UOH11:UOJ11 UYD11:UYF11 VHZ11:VIB11 VRV11:VRX11 WBR11:WBT11 WLN11:WLP11 WVJ11:WVL11 B65545:E65545 IX65545:IZ65545 ST65545:SV65545 ACP65545:ACR65545 AML65545:AMN65545 AWH65545:AWJ65545 BGD65545:BGF65545 BPZ65545:BQB65545 BZV65545:BZX65545 CJR65545:CJT65545 CTN65545:CTP65545 DDJ65545:DDL65545 DNF65545:DNH65545 DXB65545:DXD65545 EGX65545:EGZ65545 EQT65545:EQV65545 FAP65545:FAR65545 FKL65545:FKN65545 FUH65545:FUJ65545 GED65545:GEF65545 GNZ65545:GOB65545 GXV65545:GXX65545 HHR65545:HHT65545 HRN65545:HRP65545 IBJ65545:IBL65545 ILF65545:ILH65545 IVB65545:IVD65545 JEX65545:JEZ65545 JOT65545:JOV65545 JYP65545:JYR65545 KIL65545:KIN65545 KSH65545:KSJ65545 LCD65545:LCF65545 LLZ65545:LMB65545 LVV65545:LVX65545 MFR65545:MFT65545 MPN65545:MPP65545 MZJ65545:MZL65545 NJF65545:NJH65545 NTB65545:NTD65545 OCX65545:OCZ65545 OMT65545:OMV65545 OWP65545:OWR65545 PGL65545:PGN65545 PQH65545:PQJ65545 QAD65545:QAF65545 QJZ65545:QKB65545 QTV65545:QTX65545 RDR65545:RDT65545 RNN65545:RNP65545 RXJ65545:RXL65545 SHF65545:SHH65545 SRB65545:SRD65545 TAX65545:TAZ65545 TKT65545:TKV65545 TUP65545:TUR65545 UEL65545:UEN65545 UOH65545:UOJ65545 UYD65545:UYF65545 VHZ65545:VIB65545 VRV65545:VRX65545 WBR65545:WBT65545 WLN65545:WLP65545 WVJ65545:WVL65545 B131081:E131081 IX131081:IZ131081 ST131081:SV131081 ACP131081:ACR131081 AML131081:AMN131081 AWH131081:AWJ131081 BGD131081:BGF131081 BPZ131081:BQB131081 BZV131081:BZX131081 CJR131081:CJT131081 CTN131081:CTP131081 DDJ131081:DDL131081 DNF131081:DNH131081 DXB131081:DXD131081 EGX131081:EGZ131081 EQT131081:EQV131081 FAP131081:FAR131081 FKL131081:FKN131081 FUH131081:FUJ131081 GED131081:GEF131081 GNZ131081:GOB131081 GXV131081:GXX131081 HHR131081:HHT131081 HRN131081:HRP131081 IBJ131081:IBL131081 ILF131081:ILH131081 IVB131081:IVD131081 JEX131081:JEZ131081 JOT131081:JOV131081 JYP131081:JYR131081 KIL131081:KIN131081 KSH131081:KSJ131081 LCD131081:LCF131081 LLZ131081:LMB131081 LVV131081:LVX131081 MFR131081:MFT131081 MPN131081:MPP131081 MZJ131081:MZL131081 NJF131081:NJH131081 NTB131081:NTD131081 OCX131081:OCZ131081 OMT131081:OMV131081 OWP131081:OWR131081 PGL131081:PGN131081 PQH131081:PQJ131081 QAD131081:QAF131081 QJZ131081:QKB131081 QTV131081:QTX131081 RDR131081:RDT131081 RNN131081:RNP131081 RXJ131081:RXL131081 SHF131081:SHH131081 SRB131081:SRD131081 TAX131081:TAZ131081 TKT131081:TKV131081 TUP131081:TUR131081 UEL131081:UEN131081 UOH131081:UOJ131081 UYD131081:UYF131081 VHZ131081:VIB131081 VRV131081:VRX131081 WBR131081:WBT131081 WLN131081:WLP131081 WVJ131081:WVL131081 B196617:E196617 IX196617:IZ196617 ST196617:SV196617 ACP196617:ACR196617 AML196617:AMN196617 AWH196617:AWJ196617 BGD196617:BGF196617 BPZ196617:BQB196617 BZV196617:BZX196617 CJR196617:CJT196617 CTN196617:CTP196617 DDJ196617:DDL196617 DNF196617:DNH196617 DXB196617:DXD196617 EGX196617:EGZ196617 EQT196617:EQV196617 FAP196617:FAR196617 FKL196617:FKN196617 FUH196617:FUJ196617 GED196617:GEF196617 GNZ196617:GOB196617 GXV196617:GXX196617 HHR196617:HHT196617 HRN196617:HRP196617 IBJ196617:IBL196617 ILF196617:ILH196617 IVB196617:IVD196617 JEX196617:JEZ196617 JOT196617:JOV196617 JYP196617:JYR196617 KIL196617:KIN196617 KSH196617:KSJ196617 LCD196617:LCF196617 LLZ196617:LMB196617 LVV196617:LVX196617 MFR196617:MFT196617 MPN196617:MPP196617 MZJ196617:MZL196617 NJF196617:NJH196617 NTB196617:NTD196617 OCX196617:OCZ196617 OMT196617:OMV196617 OWP196617:OWR196617 PGL196617:PGN196617 PQH196617:PQJ196617 QAD196617:QAF196617 QJZ196617:QKB196617 QTV196617:QTX196617 RDR196617:RDT196617 RNN196617:RNP196617 RXJ196617:RXL196617 SHF196617:SHH196617 SRB196617:SRD196617 TAX196617:TAZ196617 TKT196617:TKV196617 TUP196617:TUR196617 UEL196617:UEN196617 UOH196617:UOJ196617 UYD196617:UYF196617 VHZ196617:VIB196617 VRV196617:VRX196617 WBR196617:WBT196617 WLN196617:WLP196617 WVJ196617:WVL196617 B262153:E262153 IX262153:IZ262153 ST262153:SV262153 ACP262153:ACR262153 AML262153:AMN262153 AWH262153:AWJ262153 BGD262153:BGF262153 BPZ262153:BQB262153 BZV262153:BZX262153 CJR262153:CJT262153 CTN262153:CTP262153 DDJ262153:DDL262153 DNF262153:DNH262153 DXB262153:DXD262153 EGX262153:EGZ262153 EQT262153:EQV262153 FAP262153:FAR262153 FKL262153:FKN262153 FUH262153:FUJ262153 GED262153:GEF262153 GNZ262153:GOB262153 GXV262153:GXX262153 HHR262153:HHT262153 HRN262153:HRP262153 IBJ262153:IBL262153 ILF262153:ILH262153 IVB262153:IVD262153 JEX262153:JEZ262153 JOT262153:JOV262153 JYP262153:JYR262153 KIL262153:KIN262153 KSH262153:KSJ262153 LCD262153:LCF262153 LLZ262153:LMB262153 LVV262153:LVX262153 MFR262153:MFT262153 MPN262153:MPP262153 MZJ262153:MZL262153 NJF262153:NJH262153 NTB262153:NTD262153 OCX262153:OCZ262153 OMT262153:OMV262153 OWP262153:OWR262153 PGL262153:PGN262153 PQH262153:PQJ262153 QAD262153:QAF262153 QJZ262153:QKB262153 QTV262153:QTX262153 RDR262153:RDT262153 RNN262153:RNP262153 RXJ262153:RXL262153 SHF262153:SHH262153 SRB262153:SRD262153 TAX262153:TAZ262153 TKT262153:TKV262153 TUP262153:TUR262153 UEL262153:UEN262153 UOH262153:UOJ262153 UYD262153:UYF262153 VHZ262153:VIB262153 VRV262153:VRX262153 WBR262153:WBT262153 WLN262153:WLP262153 WVJ262153:WVL262153 B327689:E327689 IX327689:IZ327689 ST327689:SV327689 ACP327689:ACR327689 AML327689:AMN327689 AWH327689:AWJ327689 BGD327689:BGF327689 BPZ327689:BQB327689 BZV327689:BZX327689 CJR327689:CJT327689 CTN327689:CTP327689 DDJ327689:DDL327689 DNF327689:DNH327689 DXB327689:DXD327689 EGX327689:EGZ327689 EQT327689:EQV327689 FAP327689:FAR327689 FKL327689:FKN327689 FUH327689:FUJ327689 GED327689:GEF327689 GNZ327689:GOB327689 GXV327689:GXX327689 HHR327689:HHT327689 HRN327689:HRP327689 IBJ327689:IBL327689 ILF327689:ILH327689 IVB327689:IVD327689 JEX327689:JEZ327689 JOT327689:JOV327689 JYP327689:JYR327689 KIL327689:KIN327689 KSH327689:KSJ327689 LCD327689:LCF327689 LLZ327689:LMB327689 LVV327689:LVX327689 MFR327689:MFT327689 MPN327689:MPP327689 MZJ327689:MZL327689 NJF327689:NJH327689 NTB327689:NTD327689 OCX327689:OCZ327689 OMT327689:OMV327689 OWP327689:OWR327689 PGL327689:PGN327689 PQH327689:PQJ327689 QAD327689:QAF327689 QJZ327689:QKB327689 QTV327689:QTX327689 RDR327689:RDT327689 RNN327689:RNP327689 RXJ327689:RXL327689 SHF327689:SHH327689 SRB327689:SRD327689 TAX327689:TAZ327689 TKT327689:TKV327689 TUP327689:TUR327689 UEL327689:UEN327689 UOH327689:UOJ327689 UYD327689:UYF327689 VHZ327689:VIB327689 VRV327689:VRX327689 WBR327689:WBT327689 WLN327689:WLP327689 WVJ327689:WVL327689 B393225:E393225 IX393225:IZ393225 ST393225:SV393225 ACP393225:ACR393225 AML393225:AMN393225 AWH393225:AWJ393225 BGD393225:BGF393225 BPZ393225:BQB393225 BZV393225:BZX393225 CJR393225:CJT393225 CTN393225:CTP393225 DDJ393225:DDL393225 DNF393225:DNH393225 DXB393225:DXD393225 EGX393225:EGZ393225 EQT393225:EQV393225 FAP393225:FAR393225 FKL393225:FKN393225 FUH393225:FUJ393225 GED393225:GEF393225 GNZ393225:GOB393225 GXV393225:GXX393225 HHR393225:HHT393225 HRN393225:HRP393225 IBJ393225:IBL393225 ILF393225:ILH393225 IVB393225:IVD393225 JEX393225:JEZ393225 JOT393225:JOV393225 JYP393225:JYR393225 KIL393225:KIN393225 KSH393225:KSJ393225 LCD393225:LCF393225 LLZ393225:LMB393225 LVV393225:LVX393225 MFR393225:MFT393225 MPN393225:MPP393225 MZJ393225:MZL393225 NJF393225:NJH393225 NTB393225:NTD393225 OCX393225:OCZ393225 OMT393225:OMV393225 OWP393225:OWR393225 PGL393225:PGN393225 PQH393225:PQJ393225 QAD393225:QAF393225 QJZ393225:QKB393225 QTV393225:QTX393225 RDR393225:RDT393225 RNN393225:RNP393225 RXJ393225:RXL393225 SHF393225:SHH393225 SRB393225:SRD393225 TAX393225:TAZ393225 TKT393225:TKV393225 TUP393225:TUR393225 UEL393225:UEN393225 UOH393225:UOJ393225 UYD393225:UYF393225 VHZ393225:VIB393225 VRV393225:VRX393225 WBR393225:WBT393225 WLN393225:WLP393225 WVJ393225:WVL393225 B458761:E458761 IX458761:IZ458761 ST458761:SV458761 ACP458761:ACR458761 AML458761:AMN458761 AWH458761:AWJ458761 BGD458761:BGF458761 BPZ458761:BQB458761 BZV458761:BZX458761 CJR458761:CJT458761 CTN458761:CTP458761 DDJ458761:DDL458761 DNF458761:DNH458761 DXB458761:DXD458761 EGX458761:EGZ458761 EQT458761:EQV458761 FAP458761:FAR458761 FKL458761:FKN458761 FUH458761:FUJ458761 GED458761:GEF458761 GNZ458761:GOB458761 GXV458761:GXX458761 HHR458761:HHT458761 HRN458761:HRP458761 IBJ458761:IBL458761 ILF458761:ILH458761 IVB458761:IVD458761 JEX458761:JEZ458761 JOT458761:JOV458761 JYP458761:JYR458761 KIL458761:KIN458761 KSH458761:KSJ458761 LCD458761:LCF458761 LLZ458761:LMB458761 LVV458761:LVX458761 MFR458761:MFT458761 MPN458761:MPP458761 MZJ458761:MZL458761 NJF458761:NJH458761 NTB458761:NTD458761 OCX458761:OCZ458761 OMT458761:OMV458761 OWP458761:OWR458761 PGL458761:PGN458761 PQH458761:PQJ458761 QAD458761:QAF458761 QJZ458761:QKB458761 QTV458761:QTX458761 RDR458761:RDT458761 RNN458761:RNP458761 RXJ458761:RXL458761 SHF458761:SHH458761 SRB458761:SRD458761 TAX458761:TAZ458761 TKT458761:TKV458761 TUP458761:TUR458761 UEL458761:UEN458761 UOH458761:UOJ458761 UYD458761:UYF458761 VHZ458761:VIB458761 VRV458761:VRX458761 WBR458761:WBT458761 WLN458761:WLP458761 WVJ458761:WVL458761 B524297:E524297 IX524297:IZ524297 ST524297:SV524297 ACP524297:ACR524297 AML524297:AMN524297 AWH524297:AWJ524297 BGD524297:BGF524297 BPZ524297:BQB524297 BZV524297:BZX524297 CJR524297:CJT524297 CTN524297:CTP524297 DDJ524297:DDL524297 DNF524297:DNH524297 DXB524297:DXD524297 EGX524297:EGZ524297 EQT524297:EQV524297 FAP524297:FAR524297 FKL524297:FKN524297 FUH524297:FUJ524297 GED524297:GEF524297 GNZ524297:GOB524297 GXV524297:GXX524297 HHR524297:HHT524297 HRN524297:HRP524297 IBJ524297:IBL524297 ILF524297:ILH524297 IVB524297:IVD524297 JEX524297:JEZ524297 JOT524297:JOV524297 JYP524297:JYR524297 KIL524297:KIN524297 KSH524297:KSJ524297 LCD524297:LCF524297 LLZ524297:LMB524297 LVV524297:LVX524297 MFR524297:MFT524297 MPN524297:MPP524297 MZJ524297:MZL524297 NJF524297:NJH524297 NTB524297:NTD524297 OCX524297:OCZ524297 OMT524297:OMV524297 OWP524297:OWR524297 PGL524297:PGN524297 PQH524297:PQJ524297 QAD524297:QAF524297 QJZ524297:QKB524297 QTV524297:QTX524297 RDR524297:RDT524297 RNN524297:RNP524297 RXJ524297:RXL524297 SHF524297:SHH524297 SRB524297:SRD524297 TAX524297:TAZ524297 TKT524297:TKV524297 TUP524297:TUR524297 UEL524297:UEN524297 UOH524297:UOJ524297 UYD524297:UYF524297 VHZ524297:VIB524297 VRV524297:VRX524297 WBR524297:WBT524297 WLN524297:WLP524297 WVJ524297:WVL524297 B589833:E589833 IX589833:IZ589833 ST589833:SV589833 ACP589833:ACR589833 AML589833:AMN589833 AWH589833:AWJ589833 BGD589833:BGF589833 BPZ589833:BQB589833 BZV589833:BZX589833 CJR589833:CJT589833 CTN589833:CTP589833 DDJ589833:DDL589833 DNF589833:DNH589833 DXB589833:DXD589833 EGX589833:EGZ589833 EQT589833:EQV589833 FAP589833:FAR589833 FKL589833:FKN589833 FUH589833:FUJ589833 GED589833:GEF589833 GNZ589833:GOB589833 GXV589833:GXX589833 HHR589833:HHT589833 HRN589833:HRP589833 IBJ589833:IBL589833 ILF589833:ILH589833 IVB589833:IVD589833 JEX589833:JEZ589833 JOT589833:JOV589833 JYP589833:JYR589833 KIL589833:KIN589833 KSH589833:KSJ589833 LCD589833:LCF589833 LLZ589833:LMB589833 LVV589833:LVX589833 MFR589833:MFT589833 MPN589833:MPP589833 MZJ589833:MZL589833 NJF589833:NJH589833 NTB589833:NTD589833 OCX589833:OCZ589833 OMT589833:OMV589833 OWP589833:OWR589833 PGL589833:PGN589833 PQH589833:PQJ589833 QAD589833:QAF589833 QJZ589833:QKB589833 QTV589833:QTX589833 RDR589833:RDT589833 RNN589833:RNP589833 RXJ589833:RXL589833 SHF589833:SHH589833 SRB589833:SRD589833 TAX589833:TAZ589833 TKT589833:TKV589833 TUP589833:TUR589833 UEL589833:UEN589833 UOH589833:UOJ589833 UYD589833:UYF589833 VHZ589833:VIB589833 VRV589833:VRX589833 WBR589833:WBT589833 WLN589833:WLP589833 WVJ589833:WVL589833 B655369:E655369 IX655369:IZ655369 ST655369:SV655369 ACP655369:ACR655369 AML655369:AMN655369 AWH655369:AWJ655369 BGD655369:BGF655369 BPZ655369:BQB655369 BZV655369:BZX655369 CJR655369:CJT655369 CTN655369:CTP655369 DDJ655369:DDL655369 DNF655369:DNH655369 DXB655369:DXD655369 EGX655369:EGZ655369 EQT655369:EQV655369 FAP655369:FAR655369 FKL655369:FKN655369 FUH655369:FUJ655369 GED655369:GEF655369 GNZ655369:GOB655369 GXV655369:GXX655369 HHR655369:HHT655369 HRN655369:HRP655369 IBJ655369:IBL655369 ILF655369:ILH655369 IVB655369:IVD655369 JEX655369:JEZ655369 JOT655369:JOV655369 JYP655369:JYR655369 KIL655369:KIN655369 KSH655369:KSJ655369 LCD655369:LCF655369 LLZ655369:LMB655369 LVV655369:LVX655369 MFR655369:MFT655369 MPN655369:MPP655369 MZJ655369:MZL655369 NJF655369:NJH655369 NTB655369:NTD655369 OCX655369:OCZ655369 OMT655369:OMV655369 OWP655369:OWR655369 PGL655369:PGN655369 PQH655369:PQJ655369 QAD655369:QAF655369 QJZ655369:QKB655369 QTV655369:QTX655369 RDR655369:RDT655369 RNN655369:RNP655369 RXJ655369:RXL655369 SHF655369:SHH655369 SRB655369:SRD655369 TAX655369:TAZ655369 TKT655369:TKV655369 TUP655369:TUR655369 UEL655369:UEN655369 UOH655369:UOJ655369 UYD655369:UYF655369 VHZ655369:VIB655369 VRV655369:VRX655369 WBR655369:WBT655369 WLN655369:WLP655369 WVJ655369:WVL655369 B720905:E720905 IX720905:IZ720905 ST720905:SV720905 ACP720905:ACR720905 AML720905:AMN720905 AWH720905:AWJ720905 BGD720905:BGF720905 BPZ720905:BQB720905 BZV720905:BZX720905 CJR720905:CJT720905 CTN720905:CTP720905 DDJ720905:DDL720905 DNF720905:DNH720905 DXB720905:DXD720905 EGX720905:EGZ720905 EQT720905:EQV720905 FAP720905:FAR720905 FKL720905:FKN720905 FUH720905:FUJ720905 GED720905:GEF720905 GNZ720905:GOB720905 GXV720905:GXX720905 HHR720905:HHT720905 HRN720905:HRP720905 IBJ720905:IBL720905 ILF720905:ILH720905 IVB720905:IVD720905 JEX720905:JEZ720905 JOT720905:JOV720905 JYP720905:JYR720905 KIL720905:KIN720905 KSH720905:KSJ720905 LCD720905:LCF720905 LLZ720905:LMB720905 LVV720905:LVX720905 MFR720905:MFT720905 MPN720905:MPP720905 MZJ720905:MZL720905 NJF720905:NJH720905 NTB720905:NTD720905 OCX720905:OCZ720905 OMT720905:OMV720905 OWP720905:OWR720905 PGL720905:PGN720905 PQH720905:PQJ720905 QAD720905:QAF720905 QJZ720905:QKB720905 QTV720905:QTX720905 RDR720905:RDT720905 RNN720905:RNP720905 RXJ720905:RXL720905 SHF720905:SHH720905 SRB720905:SRD720905 TAX720905:TAZ720905 TKT720905:TKV720905 TUP720905:TUR720905 UEL720905:UEN720905 UOH720905:UOJ720905 UYD720905:UYF720905 VHZ720905:VIB720905 VRV720905:VRX720905 WBR720905:WBT720905 WLN720905:WLP720905 WVJ720905:WVL720905 B786441:E786441 IX786441:IZ786441 ST786441:SV786441 ACP786441:ACR786441 AML786441:AMN786441 AWH786441:AWJ786441 BGD786441:BGF786441 BPZ786441:BQB786441 BZV786441:BZX786441 CJR786441:CJT786441 CTN786441:CTP786441 DDJ786441:DDL786441 DNF786441:DNH786441 DXB786441:DXD786441 EGX786441:EGZ786441 EQT786441:EQV786441 FAP786441:FAR786441 FKL786441:FKN786441 FUH786441:FUJ786441 GED786441:GEF786441 GNZ786441:GOB786441 GXV786441:GXX786441 HHR786441:HHT786441 HRN786441:HRP786441 IBJ786441:IBL786441 ILF786441:ILH786441 IVB786441:IVD786441 JEX786441:JEZ786441 JOT786441:JOV786441 JYP786441:JYR786441 KIL786441:KIN786441 KSH786441:KSJ786441 LCD786441:LCF786441 LLZ786441:LMB786441 LVV786441:LVX786441 MFR786441:MFT786441 MPN786441:MPP786441 MZJ786441:MZL786441 NJF786441:NJH786441 NTB786441:NTD786441 OCX786441:OCZ786441 OMT786441:OMV786441 OWP786441:OWR786441 PGL786441:PGN786441 PQH786441:PQJ786441 QAD786441:QAF786441 QJZ786441:QKB786441 QTV786441:QTX786441 RDR786441:RDT786441 RNN786441:RNP786441 RXJ786441:RXL786441 SHF786441:SHH786441 SRB786441:SRD786441 TAX786441:TAZ786441 TKT786441:TKV786441 TUP786441:TUR786441 UEL786441:UEN786441 UOH786441:UOJ786441 UYD786441:UYF786441 VHZ786441:VIB786441 VRV786441:VRX786441 WBR786441:WBT786441 WLN786441:WLP786441 WVJ786441:WVL786441 B851977:E851977 IX851977:IZ851977 ST851977:SV851977 ACP851977:ACR851977 AML851977:AMN851977 AWH851977:AWJ851977 BGD851977:BGF851977 BPZ851977:BQB851977 BZV851977:BZX851977 CJR851977:CJT851977 CTN851977:CTP851977 DDJ851977:DDL851977 DNF851977:DNH851977 DXB851977:DXD851977 EGX851977:EGZ851977 EQT851977:EQV851977 FAP851977:FAR851977 FKL851977:FKN851977 FUH851977:FUJ851977 GED851977:GEF851977 GNZ851977:GOB851977 GXV851977:GXX851977 HHR851977:HHT851977 HRN851977:HRP851977 IBJ851977:IBL851977 ILF851977:ILH851977 IVB851977:IVD851977 JEX851977:JEZ851977 JOT851977:JOV851977 JYP851977:JYR851977 KIL851977:KIN851977 KSH851977:KSJ851977 LCD851977:LCF851977 LLZ851977:LMB851977 LVV851977:LVX851977 MFR851977:MFT851977 MPN851977:MPP851977 MZJ851977:MZL851977 NJF851977:NJH851977 NTB851977:NTD851977 OCX851977:OCZ851977 OMT851977:OMV851977 OWP851977:OWR851977 PGL851977:PGN851977 PQH851977:PQJ851977 QAD851977:QAF851977 QJZ851977:QKB851977 QTV851977:QTX851977 RDR851977:RDT851977 RNN851977:RNP851977 RXJ851977:RXL851977 SHF851977:SHH851977 SRB851977:SRD851977 TAX851977:TAZ851977 TKT851977:TKV851977 TUP851977:TUR851977 UEL851977:UEN851977 UOH851977:UOJ851977 UYD851977:UYF851977 VHZ851977:VIB851977 VRV851977:VRX851977 WBR851977:WBT851977 WLN851977:WLP851977 WVJ851977:WVL851977 B917513:E917513 IX917513:IZ917513 ST917513:SV917513 ACP917513:ACR917513 AML917513:AMN917513 AWH917513:AWJ917513 BGD917513:BGF917513 BPZ917513:BQB917513 BZV917513:BZX917513 CJR917513:CJT917513 CTN917513:CTP917513 DDJ917513:DDL917513 DNF917513:DNH917513 DXB917513:DXD917513 EGX917513:EGZ917513 EQT917513:EQV917513 FAP917513:FAR917513 FKL917513:FKN917513 FUH917513:FUJ917513 GED917513:GEF917513 GNZ917513:GOB917513 GXV917513:GXX917513 HHR917513:HHT917513 HRN917513:HRP917513 IBJ917513:IBL917513 ILF917513:ILH917513 IVB917513:IVD917513 JEX917513:JEZ917513 JOT917513:JOV917513 JYP917513:JYR917513 KIL917513:KIN917513 KSH917513:KSJ917513 LCD917513:LCF917513 LLZ917513:LMB917513 LVV917513:LVX917513 MFR917513:MFT917513 MPN917513:MPP917513 MZJ917513:MZL917513 NJF917513:NJH917513 NTB917513:NTD917513 OCX917513:OCZ917513 OMT917513:OMV917513 OWP917513:OWR917513 PGL917513:PGN917513 PQH917513:PQJ917513 QAD917513:QAF917513 QJZ917513:QKB917513 QTV917513:QTX917513 RDR917513:RDT917513 RNN917513:RNP917513 RXJ917513:RXL917513 SHF917513:SHH917513 SRB917513:SRD917513 TAX917513:TAZ917513 TKT917513:TKV917513 TUP917513:TUR917513 UEL917513:UEN917513 UOH917513:UOJ917513 UYD917513:UYF917513 VHZ917513:VIB917513 VRV917513:VRX917513 WBR917513:WBT917513 WLN917513:WLP917513 WVJ917513:WVL917513 B983049:E983049 IX983049:IZ983049 ST983049:SV983049 ACP983049:ACR983049 AML983049:AMN983049 AWH983049:AWJ983049 BGD983049:BGF983049 BPZ983049:BQB983049 BZV983049:BZX983049 CJR983049:CJT983049 CTN983049:CTP983049 DDJ983049:DDL983049 DNF983049:DNH983049 DXB983049:DXD983049 EGX983049:EGZ983049 EQT983049:EQV983049 FAP983049:FAR983049 FKL983049:FKN983049 FUH983049:FUJ983049 GED983049:GEF983049 GNZ983049:GOB983049 GXV983049:GXX983049 HHR983049:HHT983049 HRN983049:HRP983049 IBJ983049:IBL983049 ILF983049:ILH983049 IVB983049:IVD983049 JEX983049:JEZ983049 JOT983049:JOV983049 JYP983049:JYR983049 KIL983049:KIN983049 KSH983049:KSJ983049 LCD983049:LCF983049 LLZ983049:LMB983049 LVV983049:LVX983049 MFR983049:MFT983049 MPN983049:MPP983049 MZJ983049:MZL983049 NJF983049:NJH983049 NTB983049:NTD983049 OCX983049:OCZ983049 OMT983049:OMV983049 OWP983049:OWR983049 PGL983049:PGN983049 PQH983049:PQJ983049 QAD983049:QAF983049 QJZ983049:QKB983049 QTV983049:QTX983049 RDR983049:RDT983049 RNN983049:RNP983049 RXJ983049:RXL983049 SHF983049:SHH983049 SRB983049:SRD983049 TAX983049:TAZ983049 TKT983049:TKV983049 TUP983049:TUR983049 UEL983049:UEN983049 UOH983049:UOJ983049 UYD983049:UYF983049 VHZ983049:VIB983049 VRV983049:VRX983049 WBR983049:WBT983049 WLN983049:WLP983049 WVJ983049:WVL983049 B12:C12 IX12:IY12 ST12:SU12 ACP12:ACQ12 AML12:AMM12 AWH12:AWI12 BGD12:BGE12 BPZ12:BQA12 BZV12:BZW12 CJR12:CJS12 CTN12:CTO12 DDJ12:DDK12 DNF12:DNG12 DXB12:DXC12 EGX12:EGY12 EQT12:EQU12 FAP12:FAQ12 FKL12:FKM12 FUH12:FUI12 GED12:GEE12 GNZ12:GOA12 GXV12:GXW12 HHR12:HHS12 HRN12:HRO12 IBJ12:IBK12 ILF12:ILG12 IVB12:IVC12 JEX12:JEY12 JOT12:JOU12 JYP12:JYQ12 KIL12:KIM12 KSH12:KSI12 LCD12:LCE12 LLZ12:LMA12 LVV12:LVW12 MFR12:MFS12 MPN12:MPO12 MZJ12:MZK12 NJF12:NJG12 NTB12:NTC12 OCX12:OCY12 OMT12:OMU12 OWP12:OWQ12 PGL12:PGM12 PQH12:PQI12 QAD12:QAE12 QJZ12:QKA12 QTV12:QTW12 RDR12:RDS12 RNN12:RNO12 RXJ12:RXK12 SHF12:SHG12 SRB12:SRC12 TAX12:TAY12 TKT12:TKU12 TUP12:TUQ12 UEL12:UEM12 UOH12:UOI12 UYD12:UYE12 VHZ12:VIA12 VRV12:VRW12 WBR12:WBS12 WLN12:WLO12 WVJ12:WVK12 B65546:C65546 IX65546:IY65546 ST65546:SU65546 ACP65546:ACQ65546 AML65546:AMM65546 AWH65546:AWI65546 BGD65546:BGE65546 BPZ65546:BQA65546 BZV65546:BZW65546 CJR65546:CJS65546 CTN65546:CTO65546 DDJ65546:DDK65546 DNF65546:DNG65546 DXB65546:DXC65546 EGX65546:EGY65546 EQT65546:EQU65546 FAP65546:FAQ65546 FKL65546:FKM65546 FUH65546:FUI65546 GED65546:GEE65546 GNZ65546:GOA65546 GXV65546:GXW65546 HHR65546:HHS65546 HRN65546:HRO65546 IBJ65546:IBK65546 ILF65546:ILG65546 IVB65546:IVC65546 JEX65546:JEY65546 JOT65546:JOU65546 JYP65546:JYQ65546 KIL65546:KIM65546 KSH65546:KSI65546 LCD65546:LCE65546 LLZ65546:LMA65546 LVV65546:LVW65546 MFR65546:MFS65546 MPN65546:MPO65546 MZJ65546:MZK65546 NJF65546:NJG65546 NTB65546:NTC65546 OCX65546:OCY65546 OMT65546:OMU65546 OWP65546:OWQ65546 PGL65546:PGM65546 PQH65546:PQI65546 QAD65546:QAE65546 QJZ65546:QKA65546 QTV65546:QTW65546 RDR65546:RDS65546 RNN65546:RNO65546 RXJ65546:RXK65546 SHF65546:SHG65546 SRB65546:SRC65546 TAX65546:TAY65546 TKT65546:TKU65546 TUP65546:TUQ65546 UEL65546:UEM65546 UOH65546:UOI65546 UYD65546:UYE65546 VHZ65546:VIA65546 VRV65546:VRW65546 WBR65546:WBS65546 WLN65546:WLO65546 WVJ65546:WVK65546 B131082:C131082 IX131082:IY131082 ST131082:SU131082 ACP131082:ACQ131082 AML131082:AMM131082 AWH131082:AWI131082 BGD131082:BGE131082 BPZ131082:BQA131082 BZV131082:BZW131082 CJR131082:CJS131082 CTN131082:CTO131082 DDJ131082:DDK131082 DNF131082:DNG131082 DXB131082:DXC131082 EGX131082:EGY131082 EQT131082:EQU131082 FAP131082:FAQ131082 FKL131082:FKM131082 FUH131082:FUI131082 GED131082:GEE131082 GNZ131082:GOA131082 GXV131082:GXW131082 HHR131082:HHS131082 HRN131082:HRO131082 IBJ131082:IBK131082 ILF131082:ILG131082 IVB131082:IVC131082 JEX131082:JEY131082 JOT131082:JOU131082 JYP131082:JYQ131082 KIL131082:KIM131082 KSH131082:KSI131082 LCD131082:LCE131082 LLZ131082:LMA131082 LVV131082:LVW131082 MFR131082:MFS131082 MPN131082:MPO131082 MZJ131082:MZK131082 NJF131082:NJG131082 NTB131082:NTC131082 OCX131082:OCY131082 OMT131082:OMU131082 OWP131082:OWQ131082 PGL131082:PGM131082 PQH131082:PQI131082 QAD131082:QAE131082 QJZ131082:QKA131082 QTV131082:QTW131082 RDR131082:RDS131082 RNN131082:RNO131082 RXJ131082:RXK131082 SHF131082:SHG131082 SRB131082:SRC131082 TAX131082:TAY131082 TKT131082:TKU131082 TUP131082:TUQ131082 UEL131082:UEM131082 UOH131082:UOI131082 UYD131082:UYE131082 VHZ131082:VIA131082 VRV131082:VRW131082 WBR131082:WBS131082 WLN131082:WLO131082 WVJ131082:WVK131082 B196618:C196618 IX196618:IY196618 ST196618:SU196618 ACP196618:ACQ196618 AML196618:AMM196618 AWH196618:AWI196618 BGD196618:BGE196618 BPZ196618:BQA196618 BZV196618:BZW196618 CJR196618:CJS196618 CTN196618:CTO196618 DDJ196618:DDK196618 DNF196618:DNG196618 DXB196618:DXC196618 EGX196618:EGY196618 EQT196618:EQU196618 FAP196618:FAQ196618 FKL196618:FKM196618 FUH196618:FUI196618 GED196618:GEE196618 GNZ196618:GOA196618 GXV196618:GXW196618 HHR196618:HHS196618 HRN196618:HRO196618 IBJ196618:IBK196618 ILF196618:ILG196618 IVB196618:IVC196618 JEX196618:JEY196618 JOT196618:JOU196618 JYP196618:JYQ196618 KIL196618:KIM196618 KSH196618:KSI196618 LCD196618:LCE196618 LLZ196618:LMA196618 LVV196618:LVW196618 MFR196618:MFS196618 MPN196618:MPO196618 MZJ196618:MZK196618 NJF196618:NJG196618 NTB196618:NTC196618 OCX196618:OCY196618 OMT196618:OMU196618 OWP196618:OWQ196618 PGL196618:PGM196618 PQH196618:PQI196618 QAD196618:QAE196618 QJZ196618:QKA196618 QTV196618:QTW196618 RDR196618:RDS196618 RNN196618:RNO196618 RXJ196618:RXK196618 SHF196618:SHG196618 SRB196618:SRC196618 TAX196618:TAY196618 TKT196618:TKU196618 TUP196618:TUQ196618 UEL196618:UEM196618 UOH196618:UOI196618 UYD196618:UYE196618 VHZ196618:VIA196618 VRV196618:VRW196618 WBR196618:WBS196618 WLN196618:WLO196618 WVJ196618:WVK196618 B262154:C262154 IX262154:IY262154 ST262154:SU262154 ACP262154:ACQ262154 AML262154:AMM262154 AWH262154:AWI262154 BGD262154:BGE262154 BPZ262154:BQA262154 BZV262154:BZW262154 CJR262154:CJS262154 CTN262154:CTO262154 DDJ262154:DDK262154 DNF262154:DNG262154 DXB262154:DXC262154 EGX262154:EGY262154 EQT262154:EQU262154 FAP262154:FAQ262154 FKL262154:FKM262154 FUH262154:FUI262154 GED262154:GEE262154 GNZ262154:GOA262154 GXV262154:GXW262154 HHR262154:HHS262154 HRN262154:HRO262154 IBJ262154:IBK262154 ILF262154:ILG262154 IVB262154:IVC262154 JEX262154:JEY262154 JOT262154:JOU262154 JYP262154:JYQ262154 KIL262154:KIM262154 KSH262154:KSI262154 LCD262154:LCE262154 LLZ262154:LMA262154 LVV262154:LVW262154 MFR262154:MFS262154 MPN262154:MPO262154 MZJ262154:MZK262154 NJF262154:NJG262154 NTB262154:NTC262154 OCX262154:OCY262154 OMT262154:OMU262154 OWP262154:OWQ262154 PGL262154:PGM262154 PQH262154:PQI262154 QAD262154:QAE262154 QJZ262154:QKA262154 QTV262154:QTW262154 RDR262154:RDS262154 RNN262154:RNO262154 RXJ262154:RXK262154 SHF262154:SHG262154 SRB262154:SRC262154 TAX262154:TAY262154 TKT262154:TKU262154 TUP262154:TUQ262154 UEL262154:UEM262154 UOH262154:UOI262154 UYD262154:UYE262154 VHZ262154:VIA262154 VRV262154:VRW262154 WBR262154:WBS262154 WLN262154:WLO262154 WVJ262154:WVK262154 B327690:C327690 IX327690:IY327690 ST327690:SU327690 ACP327690:ACQ327690 AML327690:AMM327690 AWH327690:AWI327690 BGD327690:BGE327690 BPZ327690:BQA327690 BZV327690:BZW327690 CJR327690:CJS327690 CTN327690:CTO327690 DDJ327690:DDK327690 DNF327690:DNG327690 DXB327690:DXC327690 EGX327690:EGY327690 EQT327690:EQU327690 FAP327690:FAQ327690 FKL327690:FKM327690 FUH327690:FUI327690 GED327690:GEE327690 GNZ327690:GOA327690 GXV327690:GXW327690 HHR327690:HHS327690 HRN327690:HRO327690 IBJ327690:IBK327690 ILF327690:ILG327690 IVB327690:IVC327690 JEX327690:JEY327690 JOT327690:JOU327690 JYP327690:JYQ327690 KIL327690:KIM327690 KSH327690:KSI327690 LCD327690:LCE327690 LLZ327690:LMA327690 LVV327690:LVW327690 MFR327690:MFS327690 MPN327690:MPO327690 MZJ327690:MZK327690 NJF327690:NJG327690 NTB327690:NTC327690 OCX327690:OCY327690 OMT327690:OMU327690 OWP327690:OWQ327690 PGL327690:PGM327690 PQH327690:PQI327690 QAD327690:QAE327690 QJZ327690:QKA327690 QTV327690:QTW327690 RDR327690:RDS327690 RNN327690:RNO327690 RXJ327690:RXK327690 SHF327690:SHG327690 SRB327690:SRC327690 TAX327690:TAY327690 TKT327690:TKU327690 TUP327690:TUQ327690 UEL327690:UEM327690 UOH327690:UOI327690 UYD327690:UYE327690 VHZ327690:VIA327690 VRV327690:VRW327690 WBR327690:WBS327690 WLN327690:WLO327690 WVJ327690:WVK327690 B393226:C393226 IX393226:IY393226 ST393226:SU393226 ACP393226:ACQ393226 AML393226:AMM393226 AWH393226:AWI393226 BGD393226:BGE393226 BPZ393226:BQA393226 BZV393226:BZW393226 CJR393226:CJS393226 CTN393226:CTO393226 DDJ393226:DDK393226 DNF393226:DNG393226 DXB393226:DXC393226 EGX393226:EGY393226 EQT393226:EQU393226 FAP393226:FAQ393226 FKL393226:FKM393226 FUH393226:FUI393226 GED393226:GEE393226 GNZ393226:GOA393226 GXV393226:GXW393226 HHR393226:HHS393226 HRN393226:HRO393226 IBJ393226:IBK393226 ILF393226:ILG393226 IVB393226:IVC393226 JEX393226:JEY393226 JOT393226:JOU393226 JYP393226:JYQ393226 KIL393226:KIM393226 KSH393226:KSI393226 LCD393226:LCE393226 LLZ393226:LMA393226 LVV393226:LVW393226 MFR393226:MFS393226 MPN393226:MPO393226 MZJ393226:MZK393226 NJF393226:NJG393226 NTB393226:NTC393226 OCX393226:OCY393226 OMT393226:OMU393226 OWP393226:OWQ393226 PGL393226:PGM393226 PQH393226:PQI393226 QAD393226:QAE393226 QJZ393226:QKA393226 QTV393226:QTW393226 RDR393226:RDS393226 RNN393226:RNO393226 RXJ393226:RXK393226 SHF393226:SHG393226 SRB393226:SRC393226 TAX393226:TAY393226 TKT393226:TKU393226 TUP393226:TUQ393226 UEL393226:UEM393226 UOH393226:UOI393226 UYD393226:UYE393226 VHZ393226:VIA393226 VRV393226:VRW393226 WBR393226:WBS393226 WLN393226:WLO393226 WVJ393226:WVK393226 B458762:C458762 IX458762:IY458762 ST458762:SU458762 ACP458762:ACQ458762 AML458762:AMM458762 AWH458762:AWI458762 BGD458762:BGE458762 BPZ458762:BQA458762 BZV458762:BZW458762 CJR458762:CJS458762 CTN458762:CTO458762 DDJ458762:DDK458762 DNF458762:DNG458762 DXB458762:DXC458762 EGX458762:EGY458762 EQT458762:EQU458762 FAP458762:FAQ458762 FKL458762:FKM458762 FUH458762:FUI458762 GED458762:GEE458762 GNZ458762:GOA458762 GXV458762:GXW458762 HHR458762:HHS458762 HRN458762:HRO458762 IBJ458762:IBK458762 ILF458762:ILG458762 IVB458762:IVC458762 JEX458762:JEY458762 JOT458762:JOU458762 JYP458762:JYQ458762 KIL458762:KIM458762 KSH458762:KSI458762 LCD458762:LCE458762 LLZ458762:LMA458762 LVV458762:LVW458762 MFR458762:MFS458762 MPN458762:MPO458762 MZJ458762:MZK458762 NJF458762:NJG458762 NTB458762:NTC458762 OCX458762:OCY458762 OMT458762:OMU458762 OWP458762:OWQ458762 PGL458762:PGM458762 PQH458762:PQI458762 QAD458762:QAE458762 QJZ458762:QKA458762 QTV458762:QTW458762 RDR458762:RDS458762 RNN458762:RNO458762 RXJ458762:RXK458762 SHF458762:SHG458762 SRB458762:SRC458762 TAX458762:TAY458762 TKT458762:TKU458762 TUP458762:TUQ458762 UEL458762:UEM458762 UOH458762:UOI458762 UYD458762:UYE458762 VHZ458762:VIA458762 VRV458762:VRW458762 WBR458762:WBS458762 WLN458762:WLO458762 WVJ458762:WVK458762 B524298:C524298 IX524298:IY524298 ST524298:SU524298 ACP524298:ACQ524298 AML524298:AMM524298 AWH524298:AWI524298 BGD524298:BGE524298 BPZ524298:BQA524298 BZV524298:BZW524298 CJR524298:CJS524298 CTN524298:CTO524298 DDJ524298:DDK524298 DNF524298:DNG524298 DXB524298:DXC524298 EGX524298:EGY524298 EQT524298:EQU524298 FAP524298:FAQ524298 FKL524298:FKM524298 FUH524298:FUI524298 GED524298:GEE524298 GNZ524298:GOA524298 GXV524298:GXW524298 HHR524298:HHS524298 HRN524298:HRO524298 IBJ524298:IBK524298 ILF524298:ILG524298 IVB524298:IVC524298 JEX524298:JEY524298 JOT524298:JOU524298 JYP524298:JYQ524298 KIL524298:KIM524298 KSH524298:KSI524298 LCD524298:LCE524298 LLZ524298:LMA524298 LVV524298:LVW524298 MFR524298:MFS524298 MPN524298:MPO524298 MZJ524298:MZK524298 NJF524298:NJG524298 NTB524298:NTC524298 OCX524298:OCY524298 OMT524298:OMU524298 OWP524298:OWQ524298 PGL524298:PGM524298 PQH524298:PQI524298 QAD524298:QAE524298 QJZ524298:QKA524298 QTV524298:QTW524298 RDR524298:RDS524298 RNN524298:RNO524298 RXJ524298:RXK524298 SHF524298:SHG524298 SRB524298:SRC524298 TAX524298:TAY524298 TKT524298:TKU524298 TUP524298:TUQ524298 UEL524298:UEM524298 UOH524298:UOI524298 UYD524298:UYE524298 VHZ524298:VIA524298 VRV524298:VRW524298 WBR524298:WBS524298 WLN524298:WLO524298 WVJ524298:WVK524298 B589834:C589834 IX589834:IY589834 ST589834:SU589834 ACP589834:ACQ589834 AML589834:AMM589834 AWH589834:AWI589834 BGD589834:BGE589834 BPZ589834:BQA589834 BZV589834:BZW589834 CJR589834:CJS589834 CTN589834:CTO589834 DDJ589834:DDK589834 DNF589834:DNG589834 DXB589834:DXC589834 EGX589834:EGY589834 EQT589834:EQU589834 FAP589834:FAQ589834 FKL589834:FKM589834 FUH589834:FUI589834 GED589834:GEE589834 GNZ589834:GOA589834 GXV589834:GXW589834 HHR589834:HHS589834 HRN589834:HRO589834 IBJ589834:IBK589834 ILF589834:ILG589834 IVB589834:IVC589834 JEX589834:JEY589834 JOT589834:JOU589834 JYP589834:JYQ589834 KIL589834:KIM589834 KSH589834:KSI589834 LCD589834:LCE589834 LLZ589834:LMA589834 LVV589834:LVW589834 MFR589834:MFS589834 MPN589834:MPO589834 MZJ589834:MZK589834 NJF589834:NJG589834 NTB589834:NTC589834 OCX589834:OCY589834 OMT589834:OMU589834 OWP589834:OWQ589834 PGL589834:PGM589834 PQH589834:PQI589834 QAD589834:QAE589834 QJZ589834:QKA589834 QTV589834:QTW589834 RDR589834:RDS589834 RNN589834:RNO589834 RXJ589834:RXK589834 SHF589834:SHG589834 SRB589834:SRC589834 TAX589834:TAY589834 TKT589834:TKU589834 TUP589834:TUQ589834 UEL589834:UEM589834 UOH589834:UOI589834 UYD589834:UYE589834 VHZ589834:VIA589834 VRV589834:VRW589834 WBR589834:WBS589834 WLN589834:WLO589834 WVJ589834:WVK589834 B655370:C655370 IX655370:IY655370 ST655370:SU655370 ACP655370:ACQ655370 AML655370:AMM655370 AWH655370:AWI655370 BGD655370:BGE655370 BPZ655370:BQA655370 BZV655370:BZW655370 CJR655370:CJS655370 CTN655370:CTO655370 DDJ655370:DDK655370 DNF655370:DNG655370 DXB655370:DXC655370 EGX655370:EGY655370 EQT655370:EQU655370 FAP655370:FAQ655370 FKL655370:FKM655370 FUH655370:FUI655370 GED655370:GEE655370 GNZ655370:GOA655370 GXV655370:GXW655370 HHR655370:HHS655370 HRN655370:HRO655370 IBJ655370:IBK655370 ILF655370:ILG655370 IVB655370:IVC655370 JEX655370:JEY655370 JOT655370:JOU655370 JYP655370:JYQ655370 KIL655370:KIM655370 KSH655370:KSI655370 LCD655370:LCE655370 LLZ655370:LMA655370 LVV655370:LVW655370 MFR655370:MFS655370 MPN655370:MPO655370 MZJ655370:MZK655370 NJF655370:NJG655370 NTB655370:NTC655370 OCX655370:OCY655370 OMT655370:OMU655370 OWP655370:OWQ655370 PGL655370:PGM655370 PQH655370:PQI655370 QAD655370:QAE655370 QJZ655370:QKA655370 QTV655370:QTW655370 RDR655370:RDS655370 RNN655370:RNO655370 RXJ655370:RXK655370 SHF655370:SHG655370 SRB655370:SRC655370 TAX655370:TAY655370 TKT655370:TKU655370 TUP655370:TUQ655370 UEL655370:UEM655370 UOH655370:UOI655370 UYD655370:UYE655370 VHZ655370:VIA655370 VRV655370:VRW655370 WBR655370:WBS655370 WLN655370:WLO655370 WVJ655370:WVK655370 B720906:C720906 IX720906:IY720906 ST720906:SU720906 ACP720906:ACQ720906 AML720906:AMM720906 AWH720906:AWI720906 BGD720906:BGE720906 BPZ720906:BQA720906 BZV720906:BZW720906 CJR720906:CJS720906 CTN720906:CTO720906 DDJ720906:DDK720906 DNF720906:DNG720906 DXB720906:DXC720906 EGX720906:EGY720906 EQT720906:EQU720906 FAP720906:FAQ720906 FKL720906:FKM720906 FUH720906:FUI720906 GED720906:GEE720906 GNZ720906:GOA720906 GXV720906:GXW720906 HHR720906:HHS720906 HRN720906:HRO720906 IBJ720906:IBK720906 ILF720906:ILG720906 IVB720906:IVC720906 JEX720906:JEY720906 JOT720906:JOU720906 JYP720906:JYQ720906 KIL720906:KIM720906 KSH720906:KSI720906 LCD720906:LCE720906 LLZ720906:LMA720906 LVV720906:LVW720906 MFR720906:MFS720906 MPN720906:MPO720906 MZJ720906:MZK720906 NJF720906:NJG720906 NTB720906:NTC720906 OCX720906:OCY720906 OMT720906:OMU720906 OWP720906:OWQ720906 PGL720906:PGM720906 PQH720906:PQI720906 QAD720906:QAE720906 QJZ720906:QKA720906 QTV720906:QTW720906 RDR720906:RDS720906 RNN720906:RNO720906 RXJ720906:RXK720906 SHF720906:SHG720906 SRB720906:SRC720906 TAX720906:TAY720906 TKT720906:TKU720906 TUP720906:TUQ720906 UEL720906:UEM720906 UOH720906:UOI720906 UYD720906:UYE720906 VHZ720906:VIA720906 VRV720906:VRW720906 WBR720906:WBS720906 WLN720906:WLO720906 WVJ720906:WVK720906 B786442:C786442 IX786442:IY786442 ST786442:SU786442 ACP786442:ACQ786442 AML786442:AMM786442 AWH786442:AWI786442 BGD786442:BGE786442 BPZ786442:BQA786442 BZV786442:BZW786442 CJR786442:CJS786442 CTN786442:CTO786442 DDJ786442:DDK786442 DNF786442:DNG786442 DXB786442:DXC786442 EGX786442:EGY786442 EQT786442:EQU786442 FAP786442:FAQ786442 FKL786442:FKM786442 FUH786442:FUI786442 GED786442:GEE786442 GNZ786442:GOA786442 GXV786442:GXW786442 HHR786442:HHS786442 HRN786442:HRO786442 IBJ786442:IBK786442 ILF786442:ILG786442 IVB786442:IVC786442 JEX786442:JEY786442 JOT786442:JOU786442 JYP786442:JYQ786442 KIL786442:KIM786442 KSH786442:KSI786442 LCD786442:LCE786442 LLZ786442:LMA786442 LVV786442:LVW786442 MFR786442:MFS786442 MPN786442:MPO786442 MZJ786442:MZK786442 NJF786442:NJG786442 NTB786442:NTC786442 OCX786442:OCY786442 OMT786442:OMU786442 OWP786442:OWQ786442 PGL786442:PGM786442 PQH786442:PQI786442 QAD786442:QAE786442 QJZ786442:QKA786442 QTV786442:QTW786442 RDR786442:RDS786442 RNN786442:RNO786442 RXJ786442:RXK786442 SHF786442:SHG786442 SRB786442:SRC786442 TAX786442:TAY786442 TKT786442:TKU786442 TUP786442:TUQ786442 UEL786442:UEM786442 UOH786442:UOI786442 UYD786442:UYE786442 VHZ786442:VIA786442 VRV786442:VRW786442 WBR786442:WBS786442 WLN786442:WLO786442 WVJ786442:WVK786442 B851978:C851978 IX851978:IY851978 ST851978:SU851978 ACP851978:ACQ851978 AML851978:AMM851978 AWH851978:AWI851978 BGD851978:BGE851978 BPZ851978:BQA851978 BZV851978:BZW851978 CJR851978:CJS851978 CTN851978:CTO851978 DDJ851978:DDK851978 DNF851978:DNG851978 DXB851978:DXC851978 EGX851978:EGY851978 EQT851978:EQU851978 FAP851978:FAQ851978 FKL851978:FKM851978 FUH851978:FUI851978 GED851978:GEE851978 GNZ851978:GOA851978 GXV851978:GXW851978 HHR851978:HHS851978 HRN851978:HRO851978 IBJ851978:IBK851978 ILF851978:ILG851978 IVB851978:IVC851978 JEX851978:JEY851978 JOT851978:JOU851978 JYP851978:JYQ851978 KIL851978:KIM851978 KSH851978:KSI851978 LCD851978:LCE851978 LLZ851978:LMA851978 LVV851978:LVW851978 MFR851978:MFS851978 MPN851978:MPO851978 MZJ851978:MZK851978 NJF851978:NJG851978 NTB851978:NTC851978 OCX851978:OCY851978 OMT851978:OMU851978 OWP851978:OWQ851978 PGL851978:PGM851978 PQH851978:PQI851978 QAD851978:QAE851978 QJZ851978:QKA851978 QTV851978:QTW851978 RDR851978:RDS851978 RNN851978:RNO851978 RXJ851978:RXK851978 SHF851978:SHG851978 SRB851978:SRC851978 TAX851978:TAY851978 TKT851978:TKU851978 TUP851978:TUQ851978 UEL851978:UEM851978 UOH851978:UOI851978 UYD851978:UYE851978 VHZ851978:VIA851978 VRV851978:VRW851978 WBR851978:WBS851978 WLN851978:WLO851978 WVJ851978:WVK851978 B917514:C917514 IX917514:IY917514 ST917514:SU917514 ACP917514:ACQ917514 AML917514:AMM917514 AWH917514:AWI917514 BGD917514:BGE917514 BPZ917514:BQA917514 BZV917514:BZW917514 CJR917514:CJS917514 CTN917514:CTO917514 DDJ917514:DDK917514 DNF917514:DNG917514 DXB917514:DXC917514 EGX917514:EGY917514 EQT917514:EQU917514 FAP917514:FAQ917514 FKL917514:FKM917514 FUH917514:FUI917514 GED917514:GEE917514 GNZ917514:GOA917514 GXV917514:GXW917514 HHR917514:HHS917514 HRN917514:HRO917514 IBJ917514:IBK917514 ILF917514:ILG917514 IVB917514:IVC917514 JEX917514:JEY917514 JOT917514:JOU917514 JYP917514:JYQ917514 KIL917514:KIM917514 KSH917514:KSI917514 LCD917514:LCE917514 LLZ917514:LMA917514 LVV917514:LVW917514 MFR917514:MFS917514 MPN917514:MPO917514 MZJ917514:MZK917514 NJF917514:NJG917514 NTB917514:NTC917514 OCX917514:OCY917514 OMT917514:OMU917514 OWP917514:OWQ917514 PGL917514:PGM917514 PQH917514:PQI917514 QAD917514:QAE917514 QJZ917514:QKA917514 QTV917514:QTW917514 RDR917514:RDS917514 RNN917514:RNO917514 RXJ917514:RXK917514 SHF917514:SHG917514 SRB917514:SRC917514 TAX917514:TAY917514 TKT917514:TKU917514 TUP917514:TUQ917514 UEL917514:UEM917514 UOH917514:UOI917514 UYD917514:UYE917514 VHZ917514:VIA917514 VRV917514:VRW917514 WBR917514:WBS917514 WLN917514:WLO917514 WVJ917514:WVK917514 B983050:C983050 IX983050:IY983050 ST983050:SU983050 ACP983050:ACQ983050 AML983050:AMM983050 AWH983050:AWI983050 BGD983050:BGE983050 BPZ983050:BQA983050 BZV983050:BZW983050 CJR983050:CJS983050 CTN983050:CTO983050 DDJ983050:DDK983050 DNF983050:DNG983050 DXB983050:DXC983050 EGX983050:EGY983050 EQT983050:EQU983050 FAP983050:FAQ983050 FKL983050:FKM983050 FUH983050:FUI983050 GED983050:GEE983050 GNZ983050:GOA983050 GXV983050:GXW983050 HHR983050:HHS983050 HRN983050:HRO983050 IBJ983050:IBK983050 ILF983050:ILG983050 IVB983050:IVC983050 JEX983050:JEY983050 JOT983050:JOU983050 JYP983050:JYQ983050 KIL983050:KIM983050 KSH983050:KSI983050 LCD983050:LCE983050 LLZ983050:LMA983050 LVV983050:LVW983050 MFR983050:MFS983050 MPN983050:MPO983050 MZJ983050:MZK983050 NJF983050:NJG983050 NTB983050:NTC983050 OCX983050:OCY983050 OMT983050:OMU983050 OWP983050:OWQ983050 PGL983050:PGM983050 PQH983050:PQI983050 QAD983050:QAE983050 QJZ983050:QKA983050 QTV983050:QTW983050 RDR983050:RDS983050 RNN983050:RNO983050 RXJ983050:RXK983050 SHF983050:SHG983050 SRB983050:SRC983050 TAX983050:TAY983050 TKT983050:TKU983050 TUP983050:TUQ983050 UEL983050:UEM983050 UOH983050:UOI983050 UYD983050:UYE983050 VHZ983050:VIA983050 VRV983050:VRW983050 WBR983050:WBS983050 WLN983050:WLO983050 WVJ983050:WVK983050 B14:C14 IX14:IY14 ST14:SU14 ACP14:ACQ14 AML14:AMM14 AWH14:AWI14 BGD14:BGE14 BPZ14:BQA14 BZV14:BZW14 CJR14:CJS14 CTN14:CTO14 DDJ14:DDK14 DNF14:DNG14 DXB14:DXC14 EGX14:EGY14 EQT14:EQU14 FAP14:FAQ14 FKL14:FKM14 FUH14:FUI14 GED14:GEE14 GNZ14:GOA14 GXV14:GXW14 HHR14:HHS14 HRN14:HRO14 IBJ14:IBK14 ILF14:ILG14 IVB14:IVC14 JEX14:JEY14 JOT14:JOU14 JYP14:JYQ14 KIL14:KIM14 KSH14:KSI14 LCD14:LCE14 LLZ14:LMA14 LVV14:LVW14 MFR14:MFS14 MPN14:MPO14 MZJ14:MZK14 NJF14:NJG14 NTB14:NTC14 OCX14:OCY14 OMT14:OMU14 OWP14:OWQ14 PGL14:PGM14 PQH14:PQI14 QAD14:QAE14 QJZ14:QKA14 QTV14:QTW14 RDR14:RDS14 RNN14:RNO14 RXJ14:RXK14 SHF14:SHG14 SRB14:SRC14 TAX14:TAY14 TKT14:TKU14 TUP14:TUQ14 UEL14:UEM14 UOH14:UOI14 UYD14:UYE14 VHZ14:VIA14 VRV14:VRW14 WBR14:WBS14 WLN14:WLO14 WVJ14:WVK14 B65548:C65548 IX65548:IY65548 ST65548:SU65548 ACP65548:ACQ65548 AML65548:AMM65548 AWH65548:AWI65548 BGD65548:BGE65548 BPZ65548:BQA65548 BZV65548:BZW65548 CJR65548:CJS65548 CTN65548:CTO65548 DDJ65548:DDK65548 DNF65548:DNG65548 DXB65548:DXC65548 EGX65548:EGY65548 EQT65548:EQU65548 FAP65548:FAQ65548 FKL65548:FKM65548 FUH65548:FUI65548 GED65548:GEE65548 GNZ65548:GOA65548 GXV65548:GXW65548 HHR65548:HHS65548 HRN65548:HRO65548 IBJ65548:IBK65548 ILF65548:ILG65548 IVB65548:IVC65548 JEX65548:JEY65548 JOT65548:JOU65548 JYP65548:JYQ65548 KIL65548:KIM65548 KSH65548:KSI65548 LCD65548:LCE65548 LLZ65548:LMA65548 LVV65548:LVW65548 MFR65548:MFS65548 MPN65548:MPO65548 MZJ65548:MZK65548 NJF65548:NJG65548 NTB65548:NTC65548 OCX65548:OCY65548 OMT65548:OMU65548 OWP65548:OWQ65548 PGL65548:PGM65548 PQH65548:PQI65548 QAD65548:QAE65548 QJZ65548:QKA65548 QTV65548:QTW65548 RDR65548:RDS65548 RNN65548:RNO65548 RXJ65548:RXK65548 SHF65548:SHG65548 SRB65548:SRC65548 TAX65548:TAY65548 TKT65548:TKU65548 TUP65548:TUQ65548 UEL65548:UEM65548 UOH65548:UOI65548 UYD65548:UYE65548 VHZ65548:VIA65548 VRV65548:VRW65548 WBR65548:WBS65548 WLN65548:WLO65548 WVJ65548:WVK65548 B131084:C131084 IX131084:IY131084 ST131084:SU131084 ACP131084:ACQ131084 AML131084:AMM131084 AWH131084:AWI131084 BGD131084:BGE131084 BPZ131084:BQA131084 BZV131084:BZW131084 CJR131084:CJS131084 CTN131084:CTO131084 DDJ131084:DDK131084 DNF131084:DNG131084 DXB131084:DXC131084 EGX131084:EGY131084 EQT131084:EQU131084 FAP131084:FAQ131084 FKL131084:FKM131084 FUH131084:FUI131084 GED131084:GEE131084 GNZ131084:GOA131084 GXV131084:GXW131084 HHR131084:HHS131084 HRN131084:HRO131084 IBJ131084:IBK131084 ILF131084:ILG131084 IVB131084:IVC131084 JEX131084:JEY131084 JOT131084:JOU131084 JYP131084:JYQ131084 KIL131084:KIM131084 KSH131084:KSI131084 LCD131084:LCE131084 LLZ131084:LMA131084 LVV131084:LVW131084 MFR131084:MFS131084 MPN131084:MPO131084 MZJ131084:MZK131084 NJF131084:NJG131084 NTB131084:NTC131084 OCX131084:OCY131084 OMT131084:OMU131084 OWP131084:OWQ131084 PGL131084:PGM131084 PQH131084:PQI131084 QAD131084:QAE131084 QJZ131084:QKA131084 QTV131084:QTW131084 RDR131084:RDS131084 RNN131084:RNO131084 RXJ131084:RXK131084 SHF131084:SHG131084 SRB131084:SRC131084 TAX131084:TAY131084 TKT131084:TKU131084 TUP131084:TUQ131084 UEL131084:UEM131084 UOH131084:UOI131084 UYD131084:UYE131084 VHZ131084:VIA131084 VRV131084:VRW131084 WBR131084:WBS131084 WLN131084:WLO131084 WVJ131084:WVK131084 B196620:C196620 IX196620:IY196620 ST196620:SU196620 ACP196620:ACQ196620 AML196620:AMM196620 AWH196620:AWI196620 BGD196620:BGE196620 BPZ196620:BQA196620 BZV196620:BZW196620 CJR196620:CJS196620 CTN196620:CTO196620 DDJ196620:DDK196620 DNF196620:DNG196620 DXB196620:DXC196620 EGX196620:EGY196620 EQT196620:EQU196620 FAP196620:FAQ196620 FKL196620:FKM196620 FUH196620:FUI196620 GED196620:GEE196620 GNZ196620:GOA196620 GXV196620:GXW196620 HHR196620:HHS196620 HRN196620:HRO196620 IBJ196620:IBK196620 ILF196620:ILG196620 IVB196620:IVC196620 JEX196620:JEY196620 JOT196620:JOU196620 JYP196620:JYQ196620 KIL196620:KIM196620 KSH196620:KSI196620 LCD196620:LCE196620 LLZ196620:LMA196620 LVV196620:LVW196620 MFR196620:MFS196620 MPN196620:MPO196620 MZJ196620:MZK196620 NJF196620:NJG196620 NTB196620:NTC196620 OCX196620:OCY196620 OMT196620:OMU196620 OWP196620:OWQ196620 PGL196620:PGM196620 PQH196620:PQI196620 QAD196620:QAE196620 QJZ196620:QKA196620 QTV196620:QTW196620 RDR196620:RDS196620 RNN196620:RNO196620 RXJ196620:RXK196620 SHF196620:SHG196620 SRB196620:SRC196620 TAX196620:TAY196620 TKT196620:TKU196620 TUP196620:TUQ196620 UEL196620:UEM196620 UOH196620:UOI196620 UYD196620:UYE196620 VHZ196620:VIA196620 VRV196620:VRW196620 WBR196620:WBS196620 WLN196620:WLO196620 WVJ196620:WVK196620 B262156:C262156 IX262156:IY262156 ST262156:SU262156 ACP262156:ACQ262156 AML262156:AMM262156 AWH262156:AWI262156 BGD262156:BGE262156 BPZ262156:BQA262156 BZV262156:BZW262156 CJR262156:CJS262156 CTN262156:CTO262156 DDJ262156:DDK262156 DNF262156:DNG262156 DXB262156:DXC262156 EGX262156:EGY262156 EQT262156:EQU262156 FAP262156:FAQ262156 FKL262156:FKM262156 FUH262156:FUI262156 GED262156:GEE262156 GNZ262156:GOA262156 GXV262156:GXW262156 HHR262156:HHS262156 HRN262156:HRO262156 IBJ262156:IBK262156 ILF262156:ILG262156 IVB262156:IVC262156 JEX262156:JEY262156 JOT262156:JOU262156 JYP262156:JYQ262156 KIL262156:KIM262156 KSH262156:KSI262156 LCD262156:LCE262156 LLZ262156:LMA262156 LVV262156:LVW262156 MFR262156:MFS262156 MPN262156:MPO262156 MZJ262156:MZK262156 NJF262156:NJG262156 NTB262156:NTC262156 OCX262156:OCY262156 OMT262156:OMU262156 OWP262156:OWQ262156 PGL262156:PGM262156 PQH262156:PQI262156 QAD262156:QAE262156 QJZ262156:QKA262156 QTV262156:QTW262156 RDR262156:RDS262156 RNN262156:RNO262156 RXJ262156:RXK262156 SHF262156:SHG262156 SRB262156:SRC262156 TAX262156:TAY262156 TKT262156:TKU262156 TUP262156:TUQ262156 UEL262156:UEM262156 UOH262156:UOI262156 UYD262156:UYE262156 VHZ262156:VIA262156 VRV262156:VRW262156 WBR262156:WBS262156 WLN262156:WLO262156 WVJ262156:WVK262156 B327692:C327692 IX327692:IY327692 ST327692:SU327692 ACP327692:ACQ327692 AML327692:AMM327692 AWH327692:AWI327692 BGD327692:BGE327692 BPZ327692:BQA327692 BZV327692:BZW327692 CJR327692:CJS327692 CTN327692:CTO327692 DDJ327692:DDK327692 DNF327692:DNG327692 DXB327692:DXC327692 EGX327692:EGY327692 EQT327692:EQU327692 FAP327692:FAQ327692 FKL327692:FKM327692 FUH327692:FUI327692 GED327692:GEE327692 GNZ327692:GOA327692 GXV327692:GXW327692 HHR327692:HHS327692 HRN327692:HRO327692 IBJ327692:IBK327692 ILF327692:ILG327692 IVB327692:IVC327692 JEX327692:JEY327692 JOT327692:JOU327692 JYP327692:JYQ327692 KIL327692:KIM327692 KSH327692:KSI327692 LCD327692:LCE327692 LLZ327692:LMA327692 LVV327692:LVW327692 MFR327692:MFS327692 MPN327692:MPO327692 MZJ327692:MZK327692 NJF327692:NJG327692 NTB327692:NTC327692 OCX327692:OCY327692 OMT327692:OMU327692 OWP327692:OWQ327692 PGL327692:PGM327692 PQH327692:PQI327692 QAD327692:QAE327692 QJZ327692:QKA327692 QTV327692:QTW327692 RDR327692:RDS327692 RNN327692:RNO327692 RXJ327692:RXK327692 SHF327692:SHG327692 SRB327692:SRC327692 TAX327692:TAY327692 TKT327692:TKU327692 TUP327692:TUQ327692 UEL327692:UEM327692 UOH327692:UOI327692 UYD327692:UYE327692 VHZ327692:VIA327692 VRV327692:VRW327692 WBR327692:WBS327692 WLN327692:WLO327692 WVJ327692:WVK327692 B393228:C393228 IX393228:IY393228 ST393228:SU393228 ACP393228:ACQ393228 AML393228:AMM393228 AWH393228:AWI393228 BGD393228:BGE393228 BPZ393228:BQA393228 BZV393228:BZW393228 CJR393228:CJS393228 CTN393228:CTO393228 DDJ393228:DDK393228 DNF393228:DNG393228 DXB393228:DXC393228 EGX393228:EGY393228 EQT393228:EQU393228 FAP393228:FAQ393228 FKL393228:FKM393228 FUH393228:FUI393228 GED393228:GEE393228 GNZ393228:GOA393228 GXV393228:GXW393228 HHR393228:HHS393228 HRN393228:HRO393228 IBJ393228:IBK393228 ILF393228:ILG393228 IVB393228:IVC393228 JEX393228:JEY393228 JOT393228:JOU393228 JYP393228:JYQ393228 KIL393228:KIM393228 KSH393228:KSI393228 LCD393228:LCE393228 LLZ393228:LMA393228 LVV393228:LVW393228 MFR393228:MFS393228 MPN393228:MPO393228 MZJ393228:MZK393228 NJF393228:NJG393228 NTB393228:NTC393228 OCX393228:OCY393228 OMT393228:OMU393228 OWP393228:OWQ393228 PGL393228:PGM393228 PQH393228:PQI393228 QAD393228:QAE393228 QJZ393228:QKA393228 QTV393228:QTW393228 RDR393228:RDS393228 RNN393228:RNO393228 RXJ393228:RXK393228 SHF393228:SHG393228 SRB393228:SRC393228 TAX393228:TAY393228 TKT393228:TKU393228 TUP393228:TUQ393228 UEL393228:UEM393228 UOH393228:UOI393228 UYD393228:UYE393228 VHZ393228:VIA393228 VRV393228:VRW393228 WBR393228:WBS393228 WLN393228:WLO393228 WVJ393228:WVK393228 B458764:C458764 IX458764:IY458764 ST458764:SU458764 ACP458764:ACQ458764 AML458764:AMM458764 AWH458764:AWI458764 BGD458764:BGE458764 BPZ458764:BQA458764 BZV458764:BZW458764 CJR458764:CJS458764 CTN458764:CTO458764 DDJ458764:DDK458764 DNF458764:DNG458764 DXB458764:DXC458764 EGX458764:EGY458764 EQT458764:EQU458764 FAP458764:FAQ458764 FKL458764:FKM458764 FUH458764:FUI458764 GED458764:GEE458764 GNZ458764:GOA458764 GXV458764:GXW458764 HHR458764:HHS458764 HRN458764:HRO458764 IBJ458764:IBK458764 ILF458764:ILG458764 IVB458764:IVC458764 JEX458764:JEY458764 JOT458764:JOU458764 JYP458764:JYQ458764 KIL458764:KIM458764 KSH458764:KSI458764 LCD458764:LCE458764 LLZ458764:LMA458764 LVV458764:LVW458764 MFR458764:MFS458764 MPN458764:MPO458764 MZJ458764:MZK458764 NJF458764:NJG458764 NTB458764:NTC458764 OCX458764:OCY458764 OMT458764:OMU458764 OWP458764:OWQ458764 PGL458764:PGM458764 PQH458764:PQI458764 QAD458764:QAE458764 QJZ458764:QKA458764 QTV458764:QTW458764 RDR458764:RDS458764 RNN458764:RNO458764 RXJ458764:RXK458764 SHF458764:SHG458764 SRB458764:SRC458764 TAX458764:TAY458764 TKT458764:TKU458764 TUP458764:TUQ458764 UEL458764:UEM458764 UOH458764:UOI458764 UYD458764:UYE458764 VHZ458764:VIA458764 VRV458764:VRW458764 WBR458764:WBS458764 WLN458764:WLO458764 WVJ458764:WVK458764 B524300:C524300 IX524300:IY524300 ST524300:SU524300 ACP524300:ACQ524300 AML524300:AMM524300 AWH524300:AWI524300 BGD524300:BGE524300 BPZ524300:BQA524300 BZV524300:BZW524300 CJR524300:CJS524300 CTN524300:CTO524300 DDJ524300:DDK524300 DNF524300:DNG524300 DXB524300:DXC524300 EGX524300:EGY524300 EQT524300:EQU524300 FAP524300:FAQ524300 FKL524300:FKM524300 FUH524300:FUI524300 GED524300:GEE524300 GNZ524300:GOA524300 GXV524300:GXW524300 HHR524300:HHS524300 HRN524300:HRO524300 IBJ524300:IBK524300 ILF524300:ILG524300 IVB524300:IVC524300 JEX524300:JEY524300 JOT524300:JOU524300 JYP524300:JYQ524300 KIL524300:KIM524300 KSH524300:KSI524300 LCD524300:LCE524300 LLZ524300:LMA524300 LVV524300:LVW524300 MFR524300:MFS524300 MPN524300:MPO524300 MZJ524300:MZK524300 NJF524300:NJG524300 NTB524300:NTC524300 OCX524300:OCY524300 OMT524300:OMU524300 OWP524300:OWQ524300 PGL524300:PGM524300 PQH524300:PQI524300 QAD524300:QAE524300 QJZ524300:QKA524300 QTV524300:QTW524300 RDR524300:RDS524300 RNN524300:RNO524300 RXJ524300:RXK524300 SHF524300:SHG524300 SRB524300:SRC524300 TAX524300:TAY524300 TKT524300:TKU524300 TUP524300:TUQ524300 UEL524300:UEM524300 UOH524300:UOI524300 UYD524300:UYE524300 VHZ524300:VIA524300 VRV524300:VRW524300 WBR524300:WBS524300 WLN524300:WLO524300 WVJ524300:WVK524300 B589836:C589836 IX589836:IY589836 ST589836:SU589836 ACP589836:ACQ589836 AML589836:AMM589836 AWH589836:AWI589836 BGD589836:BGE589836 BPZ589836:BQA589836 BZV589836:BZW589836 CJR589836:CJS589836 CTN589836:CTO589836 DDJ589836:DDK589836 DNF589836:DNG589836 DXB589836:DXC589836 EGX589836:EGY589836 EQT589836:EQU589836 FAP589836:FAQ589836 FKL589836:FKM589836 FUH589836:FUI589836 GED589836:GEE589836 GNZ589836:GOA589836 GXV589836:GXW589836 HHR589836:HHS589836 HRN589836:HRO589836 IBJ589836:IBK589836 ILF589836:ILG589836 IVB589836:IVC589836 JEX589836:JEY589836 JOT589836:JOU589836 JYP589836:JYQ589836 KIL589836:KIM589836 KSH589836:KSI589836 LCD589836:LCE589836 LLZ589836:LMA589836 LVV589836:LVW589836 MFR589836:MFS589836 MPN589836:MPO589836 MZJ589836:MZK589836 NJF589836:NJG589836 NTB589836:NTC589836 OCX589836:OCY589836 OMT589836:OMU589836 OWP589836:OWQ589836 PGL589836:PGM589836 PQH589836:PQI589836 QAD589836:QAE589836 QJZ589836:QKA589836 QTV589836:QTW589836 RDR589836:RDS589836 RNN589836:RNO589836 RXJ589836:RXK589836 SHF589836:SHG589836 SRB589836:SRC589836 TAX589836:TAY589836 TKT589836:TKU589836 TUP589836:TUQ589836 UEL589836:UEM589836 UOH589836:UOI589836 UYD589836:UYE589836 VHZ589836:VIA589836 VRV589836:VRW589836 WBR589836:WBS589836 WLN589836:WLO589836 WVJ589836:WVK589836 B655372:C655372 IX655372:IY655372 ST655372:SU655372 ACP655372:ACQ655372 AML655372:AMM655372 AWH655372:AWI655372 BGD655372:BGE655372 BPZ655372:BQA655372 BZV655372:BZW655372 CJR655372:CJS655372 CTN655372:CTO655372 DDJ655372:DDK655372 DNF655372:DNG655372 DXB655372:DXC655372 EGX655372:EGY655372 EQT655372:EQU655372 FAP655372:FAQ655372 FKL655372:FKM655372 FUH655372:FUI655372 GED655372:GEE655372 GNZ655372:GOA655372 GXV655372:GXW655372 HHR655372:HHS655372 HRN655372:HRO655372 IBJ655372:IBK655372 ILF655372:ILG655372 IVB655372:IVC655372 JEX655372:JEY655372 JOT655372:JOU655372 JYP655372:JYQ655372 KIL655372:KIM655372 KSH655372:KSI655372 LCD655372:LCE655372 LLZ655372:LMA655372 LVV655372:LVW655372 MFR655372:MFS655372 MPN655372:MPO655372 MZJ655372:MZK655372 NJF655372:NJG655372 NTB655372:NTC655372 OCX655372:OCY655372 OMT655372:OMU655372 OWP655372:OWQ655372 PGL655372:PGM655372 PQH655372:PQI655372 QAD655372:QAE655372 QJZ655372:QKA655372 QTV655372:QTW655372 RDR655372:RDS655372 RNN655372:RNO655372 RXJ655372:RXK655372 SHF655372:SHG655372 SRB655372:SRC655372 TAX655372:TAY655372 TKT655372:TKU655372 TUP655372:TUQ655372 UEL655372:UEM655372 UOH655372:UOI655372 UYD655372:UYE655372 VHZ655372:VIA655372 VRV655372:VRW655372 WBR655372:WBS655372 WLN655372:WLO655372 WVJ655372:WVK655372 B720908:C720908 IX720908:IY720908 ST720908:SU720908 ACP720908:ACQ720908 AML720908:AMM720908 AWH720908:AWI720908 BGD720908:BGE720908 BPZ720908:BQA720908 BZV720908:BZW720908 CJR720908:CJS720908 CTN720908:CTO720908 DDJ720908:DDK720908 DNF720908:DNG720908 DXB720908:DXC720908 EGX720908:EGY720908 EQT720908:EQU720908 FAP720908:FAQ720908 FKL720908:FKM720908 FUH720908:FUI720908 GED720908:GEE720908 GNZ720908:GOA720908 GXV720908:GXW720908 HHR720908:HHS720908 HRN720908:HRO720908 IBJ720908:IBK720908 ILF720908:ILG720908 IVB720908:IVC720908 JEX720908:JEY720908 JOT720908:JOU720908 JYP720908:JYQ720908 KIL720908:KIM720908 KSH720908:KSI720908 LCD720908:LCE720908 LLZ720908:LMA720908 LVV720908:LVW720908 MFR720908:MFS720908 MPN720908:MPO720908 MZJ720908:MZK720908 NJF720908:NJG720908 NTB720908:NTC720908 OCX720908:OCY720908 OMT720908:OMU720908 OWP720908:OWQ720908 PGL720908:PGM720908 PQH720908:PQI720908 QAD720908:QAE720908 QJZ720908:QKA720908 QTV720908:QTW720908 RDR720908:RDS720908 RNN720908:RNO720908 RXJ720908:RXK720908 SHF720908:SHG720908 SRB720908:SRC720908 TAX720908:TAY720908 TKT720908:TKU720908 TUP720908:TUQ720908 UEL720908:UEM720908 UOH720908:UOI720908 UYD720908:UYE720908 VHZ720908:VIA720908 VRV720908:VRW720908 WBR720908:WBS720908 WLN720908:WLO720908 WVJ720908:WVK720908 B786444:C786444 IX786444:IY786444 ST786444:SU786444 ACP786444:ACQ786444 AML786444:AMM786444 AWH786444:AWI786444 BGD786444:BGE786444 BPZ786444:BQA786444 BZV786444:BZW786444 CJR786444:CJS786444 CTN786444:CTO786444 DDJ786444:DDK786444 DNF786444:DNG786444 DXB786444:DXC786444 EGX786444:EGY786444 EQT786444:EQU786444 FAP786444:FAQ786444 FKL786444:FKM786444 FUH786444:FUI786444 GED786444:GEE786444 GNZ786444:GOA786444 GXV786444:GXW786444 HHR786444:HHS786444 HRN786444:HRO786444 IBJ786444:IBK786444 ILF786444:ILG786444 IVB786444:IVC786444 JEX786444:JEY786444 JOT786444:JOU786444 JYP786444:JYQ786444 KIL786444:KIM786444 KSH786444:KSI786444 LCD786444:LCE786444 LLZ786444:LMA786444 LVV786444:LVW786444 MFR786444:MFS786444 MPN786444:MPO786444 MZJ786444:MZK786444 NJF786444:NJG786444 NTB786444:NTC786444 OCX786444:OCY786444 OMT786444:OMU786444 OWP786444:OWQ786444 PGL786444:PGM786444 PQH786444:PQI786444 QAD786444:QAE786444 QJZ786444:QKA786444 QTV786444:QTW786444 RDR786444:RDS786444 RNN786444:RNO786444 RXJ786444:RXK786444 SHF786444:SHG786444 SRB786444:SRC786444 TAX786444:TAY786444 TKT786444:TKU786444 TUP786444:TUQ786444 UEL786444:UEM786444 UOH786444:UOI786444 UYD786444:UYE786444 VHZ786444:VIA786444 VRV786444:VRW786444 WBR786444:WBS786444 WLN786444:WLO786444 WVJ786444:WVK786444 B851980:C851980 IX851980:IY851980 ST851980:SU851980 ACP851980:ACQ851980 AML851980:AMM851980 AWH851980:AWI851980 BGD851980:BGE851980 BPZ851980:BQA851980 BZV851980:BZW851980 CJR851980:CJS851980 CTN851980:CTO851980 DDJ851980:DDK851980 DNF851980:DNG851980 DXB851980:DXC851980 EGX851980:EGY851980 EQT851980:EQU851980 FAP851980:FAQ851980 FKL851980:FKM851980 FUH851980:FUI851980 GED851980:GEE851980 GNZ851980:GOA851980 GXV851980:GXW851980 HHR851980:HHS851980 HRN851980:HRO851980 IBJ851980:IBK851980 ILF851980:ILG851980 IVB851980:IVC851980 JEX851980:JEY851980 JOT851980:JOU851980 JYP851980:JYQ851980 KIL851980:KIM851980 KSH851980:KSI851980 LCD851980:LCE851980 LLZ851980:LMA851980 LVV851980:LVW851980 MFR851980:MFS851980 MPN851980:MPO851980 MZJ851980:MZK851980 NJF851980:NJG851980 NTB851980:NTC851980 OCX851980:OCY851980 OMT851980:OMU851980 OWP851980:OWQ851980 PGL851980:PGM851980 PQH851980:PQI851980 QAD851980:QAE851980 QJZ851980:QKA851980 QTV851980:QTW851980 RDR851980:RDS851980 RNN851980:RNO851980 RXJ851980:RXK851980 SHF851980:SHG851980 SRB851980:SRC851980 TAX851980:TAY851980 TKT851980:TKU851980 TUP851980:TUQ851980 UEL851980:UEM851980 UOH851980:UOI851980 UYD851980:UYE851980 VHZ851980:VIA851980 VRV851980:VRW851980 WBR851980:WBS851980 WLN851980:WLO851980 WVJ851980:WVK851980 B917516:C917516 IX917516:IY917516 ST917516:SU917516 ACP917516:ACQ917516 AML917516:AMM917516 AWH917516:AWI917516 BGD917516:BGE917516 BPZ917516:BQA917516 BZV917516:BZW917516 CJR917516:CJS917516 CTN917516:CTO917516 DDJ917516:DDK917516 DNF917516:DNG917516 DXB917516:DXC917516 EGX917516:EGY917516 EQT917516:EQU917516 FAP917516:FAQ917516 FKL917516:FKM917516 FUH917516:FUI917516 GED917516:GEE917516 GNZ917516:GOA917516 GXV917516:GXW917516 HHR917516:HHS917516 HRN917516:HRO917516 IBJ917516:IBK917516 ILF917516:ILG917516 IVB917516:IVC917516 JEX917516:JEY917516 JOT917516:JOU917516 JYP917516:JYQ917516 KIL917516:KIM917516 KSH917516:KSI917516 LCD917516:LCE917516 LLZ917516:LMA917516 LVV917516:LVW917516 MFR917516:MFS917516 MPN917516:MPO917516 MZJ917516:MZK917516 NJF917516:NJG917516 NTB917516:NTC917516 OCX917516:OCY917516 OMT917516:OMU917516 OWP917516:OWQ917516 PGL917516:PGM917516 PQH917516:PQI917516 QAD917516:QAE917516 QJZ917516:QKA917516 QTV917516:QTW917516 RDR917516:RDS917516 RNN917516:RNO917516 RXJ917516:RXK917516 SHF917516:SHG917516 SRB917516:SRC917516 TAX917516:TAY917516 TKT917516:TKU917516 TUP917516:TUQ917516 UEL917516:UEM917516 UOH917516:UOI917516 UYD917516:UYE917516 VHZ917516:VIA917516 VRV917516:VRW917516 WBR917516:WBS917516 WLN917516:WLO917516 WVJ917516:WVK917516 B983052:C983052 IX983052:IY983052 ST983052:SU983052 ACP983052:ACQ983052 AML983052:AMM983052 AWH983052:AWI983052 BGD983052:BGE983052 BPZ983052:BQA983052 BZV983052:BZW983052 CJR983052:CJS983052 CTN983052:CTO983052 DDJ983052:DDK983052 DNF983052:DNG983052 DXB983052:DXC983052 EGX983052:EGY983052 EQT983052:EQU983052 FAP983052:FAQ983052 FKL983052:FKM983052 FUH983052:FUI983052 GED983052:GEE983052 GNZ983052:GOA983052 GXV983052:GXW983052 HHR983052:HHS983052 HRN983052:HRO983052 IBJ983052:IBK983052 ILF983052:ILG983052 IVB983052:IVC983052 JEX983052:JEY983052 JOT983052:JOU983052 JYP983052:JYQ983052 KIL983052:KIM983052 KSH983052:KSI983052 LCD983052:LCE983052 LLZ983052:LMA983052 LVV983052:LVW983052 MFR983052:MFS983052 MPN983052:MPO983052 MZJ983052:MZK983052 NJF983052:NJG983052 NTB983052:NTC983052 OCX983052:OCY983052 OMT983052:OMU983052 OWP983052:OWQ983052 PGL983052:PGM983052 PQH983052:PQI983052 QAD983052:QAE983052 QJZ983052:QKA983052 QTV983052:QTW983052 RDR983052:RDS983052 RNN983052:RNO983052 RXJ983052:RXK983052 SHF983052:SHG983052 SRB983052:SRC983052 TAX983052:TAY983052 TKT983052:TKU983052 TUP983052:TUQ983052 UEL983052:UEM983052 UOH983052:UOI983052 UYD983052:UYE983052 VHZ983052:VIA983052 VRV983052:VRW983052 WBR983052:WBS983052 WLN983052:WLO983052 WVJ983052:WVK983052 G65563:L65569 JC65563:JH65569 SY65563:TD65569 ACU65563:ACZ65569 AMQ65563:AMV65569 AWM65563:AWR65569 BGI65563:BGN65569 BQE65563:BQJ65569 CAA65563:CAF65569 CJW65563:CKB65569 CTS65563:CTX65569 DDO65563:DDT65569 DNK65563:DNP65569 DXG65563:DXL65569 EHC65563:EHH65569 EQY65563:ERD65569 FAU65563:FAZ65569 FKQ65563:FKV65569 FUM65563:FUR65569 GEI65563:GEN65569 GOE65563:GOJ65569 GYA65563:GYF65569 HHW65563:HIB65569 HRS65563:HRX65569 IBO65563:IBT65569 ILK65563:ILP65569 IVG65563:IVL65569 JFC65563:JFH65569 JOY65563:JPD65569 JYU65563:JYZ65569 KIQ65563:KIV65569 KSM65563:KSR65569 LCI65563:LCN65569 LME65563:LMJ65569 LWA65563:LWF65569 MFW65563:MGB65569 MPS65563:MPX65569 MZO65563:MZT65569 NJK65563:NJP65569 NTG65563:NTL65569 ODC65563:ODH65569 OMY65563:OND65569 OWU65563:OWZ65569 PGQ65563:PGV65569 PQM65563:PQR65569 QAI65563:QAN65569 QKE65563:QKJ65569 QUA65563:QUF65569 RDW65563:REB65569 RNS65563:RNX65569 RXO65563:RXT65569 SHK65563:SHP65569 SRG65563:SRL65569 TBC65563:TBH65569 TKY65563:TLD65569 TUU65563:TUZ65569 UEQ65563:UEV65569 UOM65563:UOR65569 UYI65563:UYN65569 VIE65563:VIJ65569 VSA65563:VSF65569 WBW65563:WCB65569 WLS65563:WLX65569 WVO65563:WVT65569 G131099:L131105 JC131099:JH131105 SY131099:TD131105 ACU131099:ACZ131105 AMQ131099:AMV131105 AWM131099:AWR131105 BGI131099:BGN131105 BQE131099:BQJ131105 CAA131099:CAF131105 CJW131099:CKB131105 CTS131099:CTX131105 DDO131099:DDT131105 DNK131099:DNP131105 DXG131099:DXL131105 EHC131099:EHH131105 EQY131099:ERD131105 FAU131099:FAZ131105 FKQ131099:FKV131105 FUM131099:FUR131105 GEI131099:GEN131105 GOE131099:GOJ131105 GYA131099:GYF131105 HHW131099:HIB131105 HRS131099:HRX131105 IBO131099:IBT131105 ILK131099:ILP131105 IVG131099:IVL131105 JFC131099:JFH131105 JOY131099:JPD131105 JYU131099:JYZ131105 KIQ131099:KIV131105 KSM131099:KSR131105 LCI131099:LCN131105 LME131099:LMJ131105 LWA131099:LWF131105 MFW131099:MGB131105 MPS131099:MPX131105 MZO131099:MZT131105 NJK131099:NJP131105 NTG131099:NTL131105 ODC131099:ODH131105 OMY131099:OND131105 OWU131099:OWZ131105 PGQ131099:PGV131105 PQM131099:PQR131105 QAI131099:QAN131105 QKE131099:QKJ131105 QUA131099:QUF131105 RDW131099:REB131105 RNS131099:RNX131105 RXO131099:RXT131105 SHK131099:SHP131105 SRG131099:SRL131105 TBC131099:TBH131105 TKY131099:TLD131105 TUU131099:TUZ131105 UEQ131099:UEV131105 UOM131099:UOR131105 UYI131099:UYN131105 VIE131099:VIJ131105 VSA131099:VSF131105 WBW131099:WCB131105 WLS131099:WLX131105 WVO131099:WVT131105 G196635:L196641 JC196635:JH196641 SY196635:TD196641 ACU196635:ACZ196641 AMQ196635:AMV196641 AWM196635:AWR196641 BGI196635:BGN196641 BQE196635:BQJ196641 CAA196635:CAF196641 CJW196635:CKB196641 CTS196635:CTX196641 DDO196635:DDT196641 DNK196635:DNP196641 DXG196635:DXL196641 EHC196635:EHH196641 EQY196635:ERD196641 FAU196635:FAZ196641 FKQ196635:FKV196641 FUM196635:FUR196641 GEI196635:GEN196641 GOE196635:GOJ196641 GYA196635:GYF196641 HHW196635:HIB196641 HRS196635:HRX196641 IBO196635:IBT196641 ILK196635:ILP196641 IVG196635:IVL196641 JFC196635:JFH196641 JOY196635:JPD196641 JYU196635:JYZ196641 KIQ196635:KIV196641 KSM196635:KSR196641 LCI196635:LCN196641 LME196635:LMJ196641 LWA196635:LWF196641 MFW196635:MGB196641 MPS196635:MPX196641 MZO196635:MZT196641 NJK196635:NJP196641 NTG196635:NTL196641 ODC196635:ODH196641 OMY196635:OND196641 OWU196635:OWZ196641 PGQ196635:PGV196641 PQM196635:PQR196641 QAI196635:QAN196641 QKE196635:QKJ196641 QUA196635:QUF196641 RDW196635:REB196641 RNS196635:RNX196641 RXO196635:RXT196641 SHK196635:SHP196641 SRG196635:SRL196641 TBC196635:TBH196641 TKY196635:TLD196641 TUU196635:TUZ196641 UEQ196635:UEV196641 UOM196635:UOR196641 UYI196635:UYN196641 VIE196635:VIJ196641 VSA196635:VSF196641 WBW196635:WCB196641 WLS196635:WLX196641 WVO196635:WVT196641 G262171:L262177 JC262171:JH262177 SY262171:TD262177 ACU262171:ACZ262177 AMQ262171:AMV262177 AWM262171:AWR262177 BGI262171:BGN262177 BQE262171:BQJ262177 CAA262171:CAF262177 CJW262171:CKB262177 CTS262171:CTX262177 DDO262171:DDT262177 DNK262171:DNP262177 DXG262171:DXL262177 EHC262171:EHH262177 EQY262171:ERD262177 FAU262171:FAZ262177 FKQ262171:FKV262177 FUM262171:FUR262177 GEI262171:GEN262177 GOE262171:GOJ262177 GYA262171:GYF262177 HHW262171:HIB262177 HRS262171:HRX262177 IBO262171:IBT262177 ILK262171:ILP262177 IVG262171:IVL262177 JFC262171:JFH262177 JOY262171:JPD262177 JYU262171:JYZ262177 KIQ262171:KIV262177 KSM262171:KSR262177 LCI262171:LCN262177 LME262171:LMJ262177 LWA262171:LWF262177 MFW262171:MGB262177 MPS262171:MPX262177 MZO262171:MZT262177 NJK262171:NJP262177 NTG262171:NTL262177 ODC262171:ODH262177 OMY262171:OND262177 OWU262171:OWZ262177 PGQ262171:PGV262177 PQM262171:PQR262177 QAI262171:QAN262177 QKE262171:QKJ262177 QUA262171:QUF262177 RDW262171:REB262177 RNS262171:RNX262177 RXO262171:RXT262177 SHK262171:SHP262177 SRG262171:SRL262177 TBC262171:TBH262177 TKY262171:TLD262177 TUU262171:TUZ262177 UEQ262171:UEV262177 UOM262171:UOR262177 UYI262171:UYN262177 VIE262171:VIJ262177 VSA262171:VSF262177 WBW262171:WCB262177 WLS262171:WLX262177 WVO262171:WVT262177 G327707:L327713 JC327707:JH327713 SY327707:TD327713 ACU327707:ACZ327713 AMQ327707:AMV327713 AWM327707:AWR327713 BGI327707:BGN327713 BQE327707:BQJ327713 CAA327707:CAF327713 CJW327707:CKB327713 CTS327707:CTX327713 DDO327707:DDT327713 DNK327707:DNP327713 DXG327707:DXL327713 EHC327707:EHH327713 EQY327707:ERD327713 FAU327707:FAZ327713 FKQ327707:FKV327713 FUM327707:FUR327713 GEI327707:GEN327713 GOE327707:GOJ327713 GYA327707:GYF327713 HHW327707:HIB327713 HRS327707:HRX327713 IBO327707:IBT327713 ILK327707:ILP327713 IVG327707:IVL327713 JFC327707:JFH327713 JOY327707:JPD327713 JYU327707:JYZ327713 KIQ327707:KIV327713 KSM327707:KSR327713 LCI327707:LCN327713 LME327707:LMJ327713 LWA327707:LWF327713 MFW327707:MGB327713 MPS327707:MPX327713 MZO327707:MZT327713 NJK327707:NJP327713 NTG327707:NTL327713 ODC327707:ODH327713 OMY327707:OND327713 OWU327707:OWZ327713 PGQ327707:PGV327713 PQM327707:PQR327713 QAI327707:QAN327713 QKE327707:QKJ327713 QUA327707:QUF327713 RDW327707:REB327713 RNS327707:RNX327713 RXO327707:RXT327713 SHK327707:SHP327713 SRG327707:SRL327713 TBC327707:TBH327713 TKY327707:TLD327713 TUU327707:TUZ327713 UEQ327707:UEV327713 UOM327707:UOR327713 UYI327707:UYN327713 VIE327707:VIJ327713 VSA327707:VSF327713 WBW327707:WCB327713 WLS327707:WLX327713 WVO327707:WVT327713 G393243:L393249 JC393243:JH393249 SY393243:TD393249 ACU393243:ACZ393249 AMQ393243:AMV393249 AWM393243:AWR393249 BGI393243:BGN393249 BQE393243:BQJ393249 CAA393243:CAF393249 CJW393243:CKB393249 CTS393243:CTX393249 DDO393243:DDT393249 DNK393243:DNP393249 DXG393243:DXL393249 EHC393243:EHH393249 EQY393243:ERD393249 FAU393243:FAZ393249 FKQ393243:FKV393249 FUM393243:FUR393249 GEI393243:GEN393249 GOE393243:GOJ393249 GYA393243:GYF393249 HHW393243:HIB393249 HRS393243:HRX393249 IBO393243:IBT393249 ILK393243:ILP393249 IVG393243:IVL393249 JFC393243:JFH393249 JOY393243:JPD393249 JYU393243:JYZ393249 KIQ393243:KIV393249 KSM393243:KSR393249 LCI393243:LCN393249 LME393243:LMJ393249 LWA393243:LWF393249 MFW393243:MGB393249 MPS393243:MPX393249 MZO393243:MZT393249 NJK393243:NJP393249 NTG393243:NTL393249 ODC393243:ODH393249 OMY393243:OND393249 OWU393243:OWZ393249 PGQ393243:PGV393249 PQM393243:PQR393249 QAI393243:QAN393249 QKE393243:QKJ393249 QUA393243:QUF393249 RDW393243:REB393249 RNS393243:RNX393249 RXO393243:RXT393249 SHK393243:SHP393249 SRG393243:SRL393249 TBC393243:TBH393249 TKY393243:TLD393249 TUU393243:TUZ393249 UEQ393243:UEV393249 UOM393243:UOR393249 UYI393243:UYN393249 VIE393243:VIJ393249 VSA393243:VSF393249 WBW393243:WCB393249 WLS393243:WLX393249 WVO393243:WVT393249 G458779:L458785 JC458779:JH458785 SY458779:TD458785 ACU458779:ACZ458785 AMQ458779:AMV458785 AWM458779:AWR458785 BGI458779:BGN458785 BQE458779:BQJ458785 CAA458779:CAF458785 CJW458779:CKB458785 CTS458779:CTX458785 DDO458779:DDT458785 DNK458779:DNP458785 DXG458779:DXL458785 EHC458779:EHH458785 EQY458779:ERD458785 FAU458779:FAZ458785 FKQ458779:FKV458785 FUM458779:FUR458785 GEI458779:GEN458785 GOE458779:GOJ458785 GYA458779:GYF458785 HHW458779:HIB458785 HRS458779:HRX458785 IBO458779:IBT458785 ILK458779:ILP458785 IVG458779:IVL458785 JFC458779:JFH458785 JOY458779:JPD458785 JYU458779:JYZ458785 KIQ458779:KIV458785 KSM458779:KSR458785 LCI458779:LCN458785 LME458779:LMJ458785 LWA458779:LWF458785 MFW458779:MGB458785 MPS458779:MPX458785 MZO458779:MZT458785 NJK458779:NJP458785 NTG458779:NTL458785 ODC458779:ODH458785 OMY458779:OND458785 OWU458779:OWZ458785 PGQ458779:PGV458785 PQM458779:PQR458785 QAI458779:QAN458785 QKE458779:QKJ458785 QUA458779:QUF458785 RDW458779:REB458785 RNS458779:RNX458785 RXO458779:RXT458785 SHK458779:SHP458785 SRG458779:SRL458785 TBC458779:TBH458785 TKY458779:TLD458785 TUU458779:TUZ458785 UEQ458779:UEV458785 UOM458779:UOR458785 UYI458779:UYN458785 VIE458779:VIJ458785 VSA458779:VSF458785 WBW458779:WCB458785 WLS458779:WLX458785 WVO458779:WVT458785 G524315:L524321 JC524315:JH524321 SY524315:TD524321 ACU524315:ACZ524321 AMQ524315:AMV524321 AWM524315:AWR524321 BGI524315:BGN524321 BQE524315:BQJ524321 CAA524315:CAF524321 CJW524315:CKB524321 CTS524315:CTX524321 DDO524315:DDT524321 DNK524315:DNP524321 DXG524315:DXL524321 EHC524315:EHH524321 EQY524315:ERD524321 FAU524315:FAZ524321 FKQ524315:FKV524321 FUM524315:FUR524321 GEI524315:GEN524321 GOE524315:GOJ524321 GYA524315:GYF524321 HHW524315:HIB524321 HRS524315:HRX524321 IBO524315:IBT524321 ILK524315:ILP524321 IVG524315:IVL524321 JFC524315:JFH524321 JOY524315:JPD524321 JYU524315:JYZ524321 KIQ524315:KIV524321 KSM524315:KSR524321 LCI524315:LCN524321 LME524315:LMJ524321 LWA524315:LWF524321 MFW524315:MGB524321 MPS524315:MPX524321 MZO524315:MZT524321 NJK524315:NJP524321 NTG524315:NTL524321 ODC524315:ODH524321 OMY524315:OND524321 OWU524315:OWZ524321 PGQ524315:PGV524321 PQM524315:PQR524321 QAI524315:QAN524321 QKE524315:QKJ524321 QUA524315:QUF524321 RDW524315:REB524321 RNS524315:RNX524321 RXO524315:RXT524321 SHK524315:SHP524321 SRG524315:SRL524321 TBC524315:TBH524321 TKY524315:TLD524321 TUU524315:TUZ524321 UEQ524315:UEV524321 UOM524315:UOR524321 UYI524315:UYN524321 VIE524315:VIJ524321 VSA524315:VSF524321 WBW524315:WCB524321 WLS524315:WLX524321 WVO524315:WVT524321 G589851:L589857 JC589851:JH589857 SY589851:TD589857 ACU589851:ACZ589857 AMQ589851:AMV589857 AWM589851:AWR589857 BGI589851:BGN589857 BQE589851:BQJ589857 CAA589851:CAF589857 CJW589851:CKB589857 CTS589851:CTX589857 DDO589851:DDT589857 DNK589851:DNP589857 DXG589851:DXL589857 EHC589851:EHH589857 EQY589851:ERD589857 FAU589851:FAZ589857 FKQ589851:FKV589857 FUM589851:FUR589857 GEI589851:GEN589857 GOE589851:GOJ589857 GYA589851:GYF589857 HHW589851:HIB589857 HRS589851:HRX589857 IBO589851:IBT589857 ILK589851:ILP589857 IVG589851:IVL589857 JFC589851:JFH589857 JOY589851:JPD589857 JYU589851:JYZ589857 KIQ589851:KIV589857 KSM589851:KSR589857 LCI589851:LCN589857 LME589851:LMJ589857 LWA589851:LWF589857 MFW589851:MGB589857 MPS589851:MPX589857 MZO589851:MZT589857 NJK589851:NJP589857 NTG589851:NTL589857 ODC589851:ODH589857 OMY589851:OND589857 OWU589851:OWZ589857 PGQ589851:PGV589857 PQM589851:PQR589857 QAI589851:QAN589857 QKE589851:QKJ589857 QUA589851:QUF589857 RDW589851:REB589857 RNS589851:RNX589857 RXO589851:RXT589857 SHK589851:SHP589857 SRG589851:SRL589857 TBC589851:TBH589857 TKY589851:TLD589857 TUU589851:TUZ589857 UEQ589851:UEV589857 UOM589851:UOR589857 UYI589851:UYN589857 VIE589851:VIJ589857 VSA589851:VSF589857 WBW589851:WCB589857 WLS589851:WLX589857 WVO589851:WVT589857 G655387:L655393 JC655387:JH655393 SY655387:TD655393 ACU655387:ACZ655393 AMQ655387:AMV655393 AWM655387:AWR655393 BGI655387:BGN655393 BQE655387:BQJ655393 CAA655387:CAF655393 CJW655387:CKB655393 CTS655387:CTX655393 DDO655387:DDT655393 DNK655387:DNP655393 DXG655387:DXL655393 EHC655387:EHH655393 EQY655387:ERD655393 FAU655387:FAZ655393 FKQ655387:FKV655393 FUM655387:FUR655393 GEI655387:GEN655393 GOE655387:GOJ655393 GYA655387:GYF655393 HHW655387:HIB655393 HRS655387:HRX655393 IBO655387:IBT655393 ILK655387:ILP655393 IVG655387:IVL655393 JFC655387:JFH655393 JOY655387:JPD655393 JYU655387:JYZ655393 KIQ655387:KIV655393 KSM655387:KSR655393 LCI655387:LCN655393 LME655387:LMJ655393 LWA655387:LWF655393 MFW655387:MGB655393 MPS655387:MPX655393 MZO655387:MZT655393 NJK655387:NJP655393 NTG655387:NTL655393 ODC655387:ODH655393 OMY655387:OND655393 OWU655387:OWZ655393 PGQ655387:PGV655393 PQM655387:PQR655393 QAI655387:QAN655393 QKE655387:QKJ655393 QUA655387:QUF655393 RDW655387:REB655393 RNS655387:RNX655393 RXO655387:RXT655393 SHK655387:SHP655393 SRG655387:SRL655393 TBC655387:TBH655393 TKY655387:TLD655393 TUU655387:TUZ655393 UEQ655387:UEV655393 UOM655387:UOR655393 UYI655387:UYN655393 VIE655387:VIJ655393 VSA655387:VSF655393 WBW655387:WCB655393 WLS655387:WLX655393 WVO655387:WVT655393 G720923:L720929 JC720923:JH720929 SY720923:TD720929 ACU720923:ACZ720929 AMQ720923:AMV720929 AWM720923:AWR720929 BGI720923:BGN720929 BQE720923:BQJ720929 CAA720923:CAF720929 CJW720923:CKB720929 CTS720923:CTX720929 DDO720923:DDT720929 DNK720923:DNP720929 DXG720923:DXL720929 EHC720923:EHH720929 EQY720923:ERD720929 FAU720923:FAZ720929 FKQ720923:FKV720929 FUM720923:FUR720929 GEI720923:GEN720929 GOE720923:GOJ720929 GYA720923:GYF720929 HHW720923:HIB720929 HRS720923:HRX720929 IBO720923:IBT720929 ILK720923:ILP720929 IVG720923:IVL720929 JFC720923:JFH720929 JOY720923:JPD720929 JYU720923:JYZ720929 KIQ720923:KIV720929 KSM720923:KSR720929 LCI720923:LCN720929 LME720923:LMJ720929 LWA720923:LWF720929 MFW720923:MGB720929 MPS720923:MPX720929 MZO720923:MZT720929 NJK720923:NJP720929 NTG720923:NTL720929 ODC720923:ODH720929 OMY720923:OND720929 OWU720923:OWZ720929 PGQ720923:PGV720929 PQM720923:PQR720929 QAI720923:QAN720929 QKE720923:QKJ720929 QUA720923:QUF720929 RDW720923:REB720929 RNS720923:RNX720929 RXO720923:RXT720929 SHK720923:SHP720929 SRG720923:SRL720929 TBC720923:TBH720929 TKY720923:TLD720929 TUU720923:TUZ720929 UEQ720923:UEV720929 UOM720923:UOR720929 UYI720923:UYN720929 VIE720923:VIJ720929 VSA720923:VSF720929 WBW720923:WCB720929 WLS720923:WLX720929 WVO720923:WVT720929 G786459:L786465 JC786459:JH786465 SY786459:TD786465 ACU786459:ACZ786465 AMQ786459:AMV786465 AWM786459:AWR786465 BGI786459:BGN786465 BQE786459:BQJ786465 CAA786459:CAF786465 CJW786459:CKB786465 CTS786459:CTX786465 DDO786459:DDT786465 DNK786459:DNP786465 DXG786459:DXL786465 EHC786459:EHH786465 EQY786459:ERD786465 FAU786459:FAZ786465 FKQ786459:FKV786465 FUM786459:FUR786465 GEI786459:GEN786465 GOE786459:GOJ786465 GYA786459:GYF786465 HHW786459:HIB786465 HRS786459:HRX786465 IBO786459:IBT786465 ILK786459:ILP786465 IVG786459:IVL786465 JFC786459:JFH786465 JOY786459:JPD786465 JYU786459:JYZ786465 KIQ786459:KIV786465 KSM786459:KSR786465 LCI786459:LCN786465 LME786459:LMJ786465 LWA786459:LWF786465 MFW786459:MGB786465 MPS786459:MPX786465 MZO786459:MZT786465 NJK786459:NJP786465 NTG786459:NTL786465 ODC786459:ODH786465 OMY786459:OND786465 OWU786459:OWZ786465 PGQ786459:PGV786465 PQM786459:PQR786465 QAI786459:QAN786465 QKE786459:QKJ786465 QUA786459:QUF786465 RDW786459:REB786465 RNS786459:RNX786465 RXO786459:RXT786465 SHK786459:SHP786465 SRG786459:SRL786465 TBC786459:TBH786465 TKY786459:TLD786465 TUU786459:TUZ786465 UEQ786459:UEV786465 UOM786459:UOR786465 UYI786459:UYN786465 VIE786459:VIJ786465 VSA786459:VSF786465 WBW786459:WCB786465 WLS786459:WLX786465 WVO786459:WVT786465 G851995:L852001 JC851995:JH852001 SY851995:TD852001 ACU851995:ACZ852001 AMQ851995:AMV852001 AWM851995:AWR852001 BGI851995:BGN852001 BQE851995:BQJ852001 CAA851995:CAF852001 CJW851995:CKB852001 CTS851995:CTX852001 DDO851995:DDT852001 DNK851995:DNP852001 DXG851995:DXL852001 EHC851995:EHH852001 EQY851995:ERD852001 FAU851995:FAZ852001 FKQ851995:FKV852001 FUM851995:FUR852001 GEI851995:GEN852001 GOE851995:GOJ852001 GYA851995:GYF852001 HHW851995:HIB852001 HRS851995:HRX852001 IBO851995:IBT852001 ILK851995:ILP852001 IVG851995:IVL852001 JFC851995:JFH852001 JOY851995:JPD852001 JYU851995:JYZ852001 KIQ851995:KIV852001 KSM851995:KSR852001 LCI851995:LCN852001 LME851995:LMJ852001 LWA851995:LWF852001 MFW851995:MGB852001 MPS851995:MPX852001 MZO851995:MZT852001 NJK851995:NJP852001 NTG851995:NTL852001 ODC851995:ODH852001 OMY851995:OND852001 OWU851995:OWZ852001 PGQ851995:PGV852001 PQM851995:PQR852001 QAI851995:QAN852001 QKE851995:QKJ852001 QUA851995:QUF852001 RDW851995:REB852001 RNS851995:RNX852001 RXO851995:RXT852001 SHK851995:SHP852001 SRG851995:SRL852001 TBC851995:TBH852001 TKY851995:TLD852001 TUU851995:TUZ852001 UEQ851995:UEV852001 UOM851995:UOR852001 UYI851995:UYN852001 VIE851995:VIJ852001 VSA851995:VSF852001 WBW851995:WCB852001 WLS851995:WLX852001 WVO851995:WVT852001 G917531:L917537 JC917531:JH917537 SY917531:TD917537 ACU917531:ACZ917537 AMQ917531:AMV917537 AWM917531:AWR917537 BGI917531:BGN917537 BQE917531:BQJ917537 CAA917531:CAF917537 CJW917531:CKB917537 CTS917531:CTX917537 DDO917531:DDT917537 DNK917531:DNP917537 DXG917531:DXL917537 EHC917531:EHH917537 EQY917531:ERD917537 FAU917531:FAZ917537 FKQ917531:FKV917537 FUM917531:FUR917537 GEI917531:GEN917537 GOE917531:GOJ917537 GYA917531:GYF917537 HHW917531:HIB917537 HRS917531:HRX917537 IBO917531:IBT917537 ILK917531:ILP917537 IVG917531:IVL917537 JFC917531:JFH917537 JOY917531:JPD917537 JYU917531:JYZ917537 KIQ917531:KIV917537 KSM917531:KSR917537 LCI917531:LCN917537 LME917531:LMJ917537 LWA917531:LWF917537 MFW917531:MGB917537 MPS917531:MPX917537 MZO917531:MZT917537 NJK917531:NJP917537 NTG917531:NTL917537 ODC917531:ODH917537 OMY917531:OND917537 OWU917531:OWZ917537 PGQ917531:PGV917537 PQM917531:PQR917537 QAI917531:QAN917537 QKE917531:QKJ917537 QUA917531:QUF917537 RDW917531:REB917537 RNS917531:RNX917537 RXO917531:RXT917537 SHK917531:SHP917537 SRG917531:SRL917537 TBC917531:TBH917537 TKY917531:TLD917537 TUU917531:TUZ917537 UEQ917531:UEV917537 UOM917531:UOR917537 UYI917531:UYN917537 VIE917531:VIJ917537 VSA917531:VSF917537 WBW917531:WCB917537 WLS917531:WLX917537 WVO917531:WVT917537 G983067:L983073 JC983067:JH983073 SY983067:TD983073 ACU983067:ACZ983073 AMQ983067:AMV983073 AWM983067:AWR983073 BGI983067:BGN983073 BQE983067:BQJ983073 CAA983067:CAF983073 CJW983067:CKB983073 CTS983067:CTX983073 DDO983067:DDT983073 DNK983067:DNP983073 DXG983067:DXL983073 EHC983067:EHH983073 EQY983067:ERD983073 FAU983067:FAZ983073 FKQ983067:FKV983073 FUM983067:FUR983073 GEI983067:GEN983073 GOE983067:GOJ983073 GYA983067:GYF983073 HHW983067:HIB983073 HRS983067:HRX983073 IBO983067:IBT983073 ILK983067:ILP983073 IVG983067:IVL983073 JFC983067:JFH983073 JOY983067:JPD983073 JYU983067:JYZ983073 KIQ983067:KIV983073 KSM983067:KSR983073 LCI983067:LCN983073 LME983067:LMJ983073 LWA983067:LWF983073 MFW983067:MGB983073 MPS983067:MPX983073 MZO983067:MZT983073 NJK983067:NJP983073 NTG983067:NTL983073 ODC983067:ODH983073 OMY983067:OND983073 OWU983067:OWZ983073 PGQ983067:PGV983073 PQM983067:PQR983073 QAI983067:QAN983073 QKE983067:QKJ983073 QUA983067:QUF983073 RDW983067:REB983073 RNS983067:RNX983073 RXO983067:RXT983073 SHK983067:SHP983073 SRG983067:SRL983073 TBC983067:TBH983073 TKY983067:TLD983073 TUU983067:TUZ983073 UEQ983067:UEV983073 UOM983067:UOR983073 UYI983067:UYN983073 VIE983067:VIJ983073 VSA983067:VSF983073 WBW983067:WCB983073 WLS983067:WLX983073 WVO983067:WVT983073 B65563:B65571 IX65563:IX65571 ST65563:ST65571 ACP65563:ACP65571 AML65563:AML65571 AWH65563:AWH65571 BGD65563:BGD65571 BPZ65563:BPZ65571 BZV65563:BZV65571 CJR65563:CJR65571 CTN65563:CTN65571 DDJ65563:DDJ65571 DNF65563:DNF65571 DXB65563:DXB65571 EGX65563:EGX65571 EQT65563:EQT65571 FAP65563:FAP65571 FKL65563:FKL65571 FUH65563:FUH65571 GED65563:GED65571 GNZ65563:GNZ65571 GXV65563:GXV65571 HHR65563:HHR65571 HRN65563:HRN65571 IBJ65563:IBJ65571 ILF65563:ILF65571 IVB65563:IVB65571 JEX65563:JEX65571 JOT65563:JOT65571 JYP65563:JYP65571 KIL65563:KIL65571 KSH65563:KSH65571 LCD65563:LCD65571 LLZ65563:LLZ65571 LVV65563:LVV65571 MFR65563:MFR65571 MPN65563:MPN65571 MZJ65563:MZJ65571 NJF65563:NJF65571 NTB65563:NTB65571 OCX65563:OCX65571 OMT65563:OMT65571 OWP65563:OWP65571 PGL65563:PGL65571 PQH65563:PQH65571 QAD65563:QAD65571 QJZ65563:QJZ65571 QTV65563:QTV65571 RDR65563:RDR65571 RNN65563:RNN65571 RXJ65563:RXJ65571 SHF65563:SHF65571 SRB65563:SRB65571 TAX65563:TAX65571 TKT65563:TKT65571 TUP65563:TUP65571 UEL65563:UEL65571 UOH65563:UOH65571 UYD65563:UYD65571 VHZ65563:VHZ65571 VRV65563:VRV65571 WBR65563:WBR65571 WLN65563:WLN65571 WVJ65563:WVJ65571 B131099:B131107 IX131099:IX131107 ST131099:ST131107 ACP131099:ACP131107 AML131099:AML131107 AWH131099:AWH131107 BGD131099:BGD131107 BPZ131099:BPZ131107 BZV131099:BZV131107 CJR131099:CJR131107 CTN131099:CTN131107 DDJ131099:DDJ131107 DNF131099:DNF131107 DXB131099:DXB131107 EGX131099:EGX131107 EQT131099:EQT131107 FAP131099:FAP131107 FKL131099:FKL131107 FUH131099:FUH131107 GED131099:GED131107 GNZ131099:GNZ131107 GXV131099:GXV131107 HHR131099:HHR131107 HRN131099:HRN131107 IBJ131099:IBJ131107 ILF131099:ILF131107 IVB131099:IVB131107 JEX131099:JEX131107 JOT131099:JOT131107 JYP131099:JYP131107 KIL131099:KIL131107 KSH131099:KSH131107 LCD131099:LCD131107 LLZ131099:LLZ131107 LVV131099:LVV131107 MFR131099:MFR131107 MPN131099:MPN131107 MZJ131099:MZJ131107 NJF131099:NJF131107 NTB131099:NTB131107 OCX131099:OCX131107 OMT131099:OMT131107 OWP131099:OWP131107 PGL131099:PGL131107 PQH131099:PQH131107 QAD131099:QAD131107 QJZ131099:QJZ131107 QTV131099:QTV131107 RDR131099:RDR131107 RNN131099:RNN131107 RXJ131099:RXJ131107 SHF131099:SHF131107 SRB131099:SRB131107 TAX131099:TAX131107 TKT131099:TKT131107 TUP131099:TUP131107 UEL131099:UEL131107 UOH131099:UOH131107 UYD131099:UYD131107 VHZ131099:VHZ131107 VRV131099:VRV131107 WBR131099:WBR131107 WLN131099:WLN131107 WVJ131099:WVJ131107 B196635:B196643 IX196635:IX196643 ST196635:ST196643 ACP196635:ACP196643 AML196635:AML196643 AWH196635:AWH196643 BGD196635:BGD196643 BPZ196635:BPZ196643 BZV196635:BZV196643 CJR196635:CJR196643 CTN196635:CTN196643 DDJ196635:DDJ196643 DNF196635:DNF196643 DXB196635:DXB196643 EGX196635:EGX196643 EQT196635:EQT196643 FAP196635:FAP196643 FKL196635:FKL196643 FUH196635:FUH196643 GED196635:GED196643 GNZ196635:GNZ196643 GXV196635:GXV196643 HHR196635:HHR196643 HRN196635:HRN196643 IBJ196635:IBJ196643 ILF196635:ILF196643 IVB196635:IVB196643 JEX196635:JEX196643 JOT196635:JOT196643 JYP196635:JYP196643 KIL196635:KIL196643 KSH196635:KSH196643 LCD196635:LCD196643 LLZ196635:LLZ196643 LVV196635:LVV196643 MFR196635:MFR196643 MPN196635:MPN196643 MZJ196635:MZJ196643 NJF196635:NJF196643 NTB196635:NTB196643 OCX196635:OCX196643 OMT196635:OMT196643 OWP196635:OWP196643 PGL196635:PGL196643 PQH196635:PQH196643 QAD196635:QAD196643 QJZ196635:QJZ196643 QTV196635:QTV196643 RDR196635:RDR196643 RNN196635:RNN196643 RXJ196635:RXJ196643 SHF196635:SHF196643 SRB196635:SRB196643 TAX196635:TAX196643 TKT196635:TKT196643 TUP196635:TUP196643 UEL196635:UEL196643 UOH196635:UOH196643 UYD196635:UYD196643 VHZ196635:VHZ196643 VRV196635:VRV196643 WBR196635:WBR196643 WLN196635:WLN196643 WVJ196635:WVJ196643 B262171:B262179 IX262171:IX262179 ST262171:ST262179 ACP262171:ACP262179 AML262171:AML262179 AWH262171:AWH262179 BGD262171:BGD262179 BPZ262171:BPZ262179 BZV262171:BZV262179 CJR262171:CJR262179 CTN262171:CTN262179 DDJ262171:DDJ262179 DNF262171:DNF262179 DXB262171:DXB262179 EGX262171:EGX262179 EQT262171:EQT262179 FAP262171:FAP262179 FKL262171:FKL262179 FUH262171:FUH262179 GED262171:GED262179 GNZ262171:GNZ262179 GXV262171:GXV262179 HHR262171:HHR262179 HRN262171:HRN262179 IBJ262171:IBJ262179 ILF262171:ILF262179 IVB262171:IVB262179 JEX262171:JEX262179 JOT262171:JOT262179 JYP262171:JYP262179 KIL262171:KIL262179 KSH262171:KSH262179 LCD262171:LCD262179 LLZ262171:LLZ262179 LVV262171:LVV262179 MFR262171:MFR262179 MPN262171:MPN262179 MZJ262171:MZJ262179 NJF262171:NJF262179 NTB262171:NTB262179 OCX262171:OCX262179 OMT262171:OMT262179 OWP262171:OWP262179 PGL262171:PGL262179 PQH262171:PQH262179 QAD262171:QAD262179 QJZ262171:QJZ262179 QTV262171:QTV262179 RDR262171:RDR262179 RNN262171:RNN262179 RXJ262171:RXJ262179 SHF262171:SHF262179 SRB262171:SRB262179 TAX262171:TAX262179 TKT262171:TKT262179 TUP262171:TUP262179 UEL262171:UEL262179 UOH262171:UOH262179 UYD262171:UYD262179 VHZ262171:VHZ262179 VRV262171:VRV262179 WBR262171:WBR262179 WLN262171:WLN262179 WVJ262171:WVJ262179 B327707:B327715 IX327707:IX327715 ST327707:ST327715 ACP327707:ACP327715 AML327707:AML327715 AWH327707:AWH327715 BGD327707:BGD327715 BPZ327707:BPZ327715 BZV327707:BZV327715 CJR327707:CJR327715 CTN327707:CTN327715 DDJ327707:DDJ327715 DNF327707:DNF327715 DXB327707:DXB327715 EGX327707:EGX327715 EQT327707:EQT327715 FAP327707:FAP327715 FKL327707:FKL327715 FUH327707:FUH327715 GED327707:GED327715 GNZ327707:GNZ327715 GXV327707:GXV327715 HHR327707:HHR327715 HRN327707:HRN327715 IBJ327707:IBJ327715 ILF327707:ILF327715 IVB327707:IVB327715 JEX327707:JEX327715 JOT327707:JOT327715 JYP327707:JYP327715 KIL327707:KIL327715 KSH327707:KSH327715 LCD327707:LCD327715 LLZ327707:LLZ327715 LVV327707:LVV327715 MFR327707:MFR327715 MPN327707:MPN327715 MZJ327707:MZJ327715 NJF327707:NJF327715 NTB327707:NTB327715 OCX327707:OCX327715 OMT327707:OMT327715 OWP327707:OWP327715 PGL327707:PGL327715 PQH327707:PQH327715 QAD327707:QAD327715 QJZ327707:QJZ327715 QTV327707:QTV327715 RDR327707:RDR327715 RNN327707:RNN327715 RXJ327707:RXJ327715 SHF327707:SHF327715 SRB327707:SRB327715 TAX327707:TAX327715 TKT327707:TKT327715 TUP327707:TUP327715 UEL327707:UEL327715 UOH327707:UOH327715 UYD327707:UYD327715 VHZ327707:VHZ327715 VRV327707:VRV327715 WBR327707:WBR327715 WLN327707:WLN327715 WVJ327707:WVJ327715 B393243:B393251 IX393243:IX393251 ST393243:ST393251 ACP393243:ACP393251 AML393243:AML393251 AWH393243:AWH393251 BGD393243:BGD393251 BPZ393243:BPZ393251 BZV393243:BZV393251 CJR393243:CJR393251 CTN393243:CTN393251 DDJ393243:DDJ393251 DNF393243:DNF393251 DXB393243:DXB393251 EGX393243:EGX393251 EQT393243:EQT393251 FAP393243:FAP393251 FKL393243:FKL393251 FUH393243:FUH393251 GED393243:GED393251 GNZ393243:GNZ393251 GXV393243:GXV393251 HHR393243:HHR393251 HRN393243:HRN393251 IBJ393243:IBJ393251 ILF393243:ILF393251 IVB393243:IVB393251 JEX393243:JEX393251 JOT393243:JOT393251 JYP393243:JYP393251 KIL393243:KIL393251 KSH393243:KSH393251 LCD393243:LCD393251 LLZ393243:LLZ393251 LVV393243:LVV393251 MFR393243:MFR393251 MPN393243:MPN393251 MZJ393243:MZJ393251 NJF393243:NJF393251 NTB393243:NTB393251 OCX393243:OCX393251 OMT393243:OMT393251 OWP393243:OWP393251 PGL393243:PGL393251 PQH393243:PQH393251 QAD393243:QAD393251 QJZ393243:QJZ393251 QTV393243:QTV393251 RDR393243:RDR393251 RNN393243:RNN393251 RXJ393243:RXJ393251 SHF393243:SHF393251 SRB393243:SRB393251 TAX393243:TAX393251 TKT393243:TKT393251 TUP393243:TUP393251 UEL393243:UEL393251 UOH393243:UOH393251 UYD393243:UYD393251 VHZ393243:VHZ393251 VRV393243:VRV393251 WBR393243:WBR393251 WLN393243:WLN393251 WVJ393243:WVJ393251 B458779:B458787 IX458779:IX458787 ST458779:ST458787 ACP458779:ACP458787 AML458779:AML458787 AWH458779:AWH458787 BGD458779:BGD458787 BPZ458779:BPZ458787 BZV458779:BZV458787 CJR458779:CJR458787 CTN458779:CTN458787 DDJ458779:DDJ458787 DNF458779:DNF458787 DXB458779:DXB458787 EGX458779:EGX458787 EQT458779:EQT458787 FAP458779:FAP458787 FKL458779:FKL458787 FUH458779:FUH458787 GED458779:GED458787 GNZ458779:GNZ458787 GXV458779:GXV458787 HHR458779:HHR458787 HRN458779:HRN458787 IBJ458779:IBJ458787 ILF458779:ILF458787 IVB458779:IVB458787 JEX458779:JEX458787 JOT458779:JOT458787 JYP458779:JYP458787 KIL458779:KIL458787 KSH458779:KSH458787 LCD458779:LCD458787 LLZ458779:LLZ458787 LVV458779:LVV458787 MFR458779:MFR458787 MPN458779:MPN458787 MZJ458779:MZJ458787 NJF458779:NJF458787 NTB458779:NTB458787 OCX458779:OCX458787 OMT458779:OMT458787 OWP458779:OWP458787 PGL458779:PGL458787 PQH458779:PQH458787 QAD458779:QAD458787 QJZ458779:QJZ458787 QTV458779:QTV458787 RDR458779:RDR458787 RNN458779:RNN458787 RXJ458779:RXJ458787 SHF458779:SHF458787 SRB458779:SRB458787 TAX458779:TAX458787 TKT458779:TKT458787 TUP458779:TUP458787 UEL458779:UEL458787 UOH458779:UOH458787 UYD458779:UYD458787 VHZ458779:VHZ458787 VRV458779:VRV458787 WBR458779:WBR458787 WLN458779:WLN458787 WVJ458779:WVJ458787 B524315:B524323 IX524315:IX524323 ST524315:ST524323 ACP524315:ACP524323 AML524315:AML524323 AWH524315:AWH524323 BGD524315:BGD524323 BPZ524315:BPZ524323 BZV524315:BZV524323 CJR524315:CJR524323 CTN524315:CTN524323 DDJ524315:DDJ524323 DNF524315:DNF524323 DXB524315:DXB524323 EGX524315:EGX524323 EQT524315:EQT524323 FAP524315:FAP524323 FKL524315:FKL524323 FUH524315:FUH524323 GED524315:GED524323 GNZ524315:GNZ524323 GXV524315:GXV524323 HHR524315:HHR524323 HRN524315:HRN524323 IBJ524315:IBJ524323 ILF524315:ILF524323 IVB524315:IVB524323 JEX524315:JEX524323 JOT524315:JOT524323 JYP524315:JYP524323 KIL524315:KIL524323 KSH524315:KSH524323 LCD524315:LCD524323 LLZ524315:LLZ524323 LVV524315:LVV524323 MFR524315:MFR524323 MPN524315:MPN524323 MZJ524315:MZJ524323 NJF524315:NJF524323 NTB524315:NTB524323 OCX524315:OCX524323 OMT524315:OMT524323 OWP524315:OWP524323 PGL524315:PGL524323 PQH524315:PQH524323 QAD524315:QAD524323 QJZ524315:QJZ524323 QTV524315:QTV524323 RDR524315:RDR524323 RNN524315:RNN524323 RXJ524315:RXJ524323 SHF524315:SHF524323 SRB524315:SRB524323 TAX524315:TAX524323 TKT524315:TKT524323 TUP524315:TUP524323 UEL524315:UEL524323 UOH524315:UOH524323 UYD524315:UYD524323 VHZ524315:VHZ524323 VRV524315:VRV524323 WBR524315:WBR524323 WLN524315:WLN524323 WVJ524315:WVJ524323 B589851:B589859 IX589851:IX589859 ST589851:ST589859 ACP589851:ACP589859 AML589851:AML589859 AWH589851:AWH589859 BGD589851:BGD589859 BPZ589851:BPZ589859 BZV589851:BZV589859 CJR589851:CJR589859 CTN589851:CTN589859 DDJ589851:DDJ589859 DNF589851:DNF589859 DXB589851:DXB589859 EGX589851:EGX589859 EQT589851:EQT589859 FAP589851:FAP589859 FKL589851:FKL589859 FUH589851:FUH589859 GED589851:GED589859 GNZ589851:GNZ589859 GXV589851:GXV589859 HHR589851:HHR589859 HRN589851:HRN589859 IBJ589851:IBJ589859 ILF589851:ILF589859 IVB589851:IVB589859 JEX589851:JEX589859 JOT589851:JOT589859 JYP589851:JYP589859 KIL589851:KIL589859 KSH589851:KSH589859 LCD589851:LCD589859 LLZ589851:LLZ589859 LVV589851:LVV589859 MFR589851:MFR589859 MPN589851:MPN589859 MZJ589851:MZJ589859 NJF589851:NJF589859 NTB589851:NTB589859 OCX589851:OCX589859 OMT589851:OMT589859 OWP589851:OWP589859 PGL589851:PGL589859 PQH589851:PQH589859 QAD589851:QAD589859 QJZ589851:QJZ589859 QTV589851:QTV589859 RDR589851:RDR589859 RNN589851:RNN589859 RXJ589851:RXJ589859 SHF589851:SHF589859 SRB589851:SRB589859 TAX589851:TAX589859 TKT589851:TKT589859 TUP589851:TUP589859 UEL589851:UEL589859 UOH589851:UOH589859 UYD589851:UYD589859 VHZ589851:VHZ589859 VRV589851:VRV589859 WBR589851:WBR589859 WLN589851:WLN589859 WVJ589851:WVJ589859 B655387:B655395 IX655387:IX655395 ST655387:ST655395 ACP655387:ACP655395 AML655387:AML655395 AWH655387:AWH655395 BGD655387:BGD655395 BPZ655387:BPZ655395 BZV655387:BZV655395 CJR655387:CJR655395 CTN655387:CTN655395 DDJ655387:DDJ655395 DNF655387:DNF655395 DXB655387:DXB655395 EGX655387:EGX655395 EQT655387:EQT655395 FAP655387:FAP655395 FKL655387:FKL655395 FUH655387:FUH655395 GED655387:GED655395 GNZ655387:GNZ655395 GXV655387:GXV655395 HHR655387:HHR655395 HRN655387:HRN655395 IBJ655387:IBJ655395 ILF655387:ILF655395 IVB655387:IVB655395 JEX655387:JEX655395 JOT655387:JOT655395 JYP655387:JYP655395 KIL655387:KIL655395 KSH655387:KSH655395 LCD655387:LCD655395 LLZ655387:LLZ655395 LVV655387:LVV655395 MFR655387:MFR655395 MPN655387:MPN655395 MZJ655387:MZJ655395 NJF655387:NJF655395 NTB655387:NTB655395 OCX655387:OCX655395 OMT655387:OMT655395 OWP655387:OWP655395 PGL655387:PGL655395 PQH655387:PQH655395 QAD655387:QAD655395 QJZ655387:QJZ655395 QTV655387:QTV655395 RDR655387:RDR655395 RNN655387:RNN655395 RXJ655387:RXJ655395 SHF655387:SHF655395 SRB655387:SRB655395 TAX655387:TAX655395 TKT655387:TKT655395 TUP655387:TUP655395 UEL655387:UEL655395 UOH655387:UOH655395 UYD655387:UYD655395 VHZ655387:VHZ655395 VRV655387:VRV655395 WBR655387:WBR655395 WLN655387:WLN655395 WVJ655387:WVJ655395 B720923:B720931 IX720923:IX720931 ST720923:ST720931 ACP720923:ACP720931 AML720923:AML720931 AWH720923:AWH720931 BGD720923:BGD720931 BPZ720923:BPZ720931 BZV720923:BZV720931 CJR720923:CJR720931 CTN720923:CTN720931 DDJ720923:DDJ720931 DNF720923:DNF720931 DXB720923:DXB720931 EGX720923:EGX720931 EQT720923:EQT720931 FAP720923:FAP720931 FKL720923:FKL720931 FUH720923:FUH720931 GED720923:GED720931 GNZ720923:GNZ720931 GXV720923:GXV720931 HHR720923:HHR720931 HRN720923:HRN720931 IBJ720923:IBJ720931 ILF720923:ILF720931 IVB720923:IVB720931 JEX720923:JEX720931 JOT720923:JOT720931 JYP720923:JYP720931 KIL720923:KIL720931 KSH720923:KSH720931 LCD720923:LCD720931 LLZ720923:LLZ720931 LVV720923:LVV720931 MFR720923:MFR720931 MPN720923:MPN720931 MZJ720923:MZJ720931 NJF720923:NJF720931 NTB720923:NTB720931 OCX720923:OCX720931 OMT720923:OMT720931 OWP720923:OWP720931 PGL720923:PGL720931 PQH720923:PQH720931 QAD720923:QAD720931 QJZ720923:QJZ720931 QTV720923:QTV720931 RDR720923:RDR720931 RNN720923:RNN720931 RXJ720923:RXJ720931 SHF720923:SHF720931 SRB720923:SRB720931 TAX720923:TAX720931 TKT720923:TKT720931 TUP720923:TUP720931 UEL720923:UEL720931 UOH720923:UOH720931 UYD720923:UYD720931 VHZ720923:VHZ720931 VRV720923:VRV720931 WBR720923:WBR720931 WLN720923:WLN720931 WVJ720923:WVJ720931 B786459:B786467 IX786459:IX786467 ST786459:ST786467 ACP786459:ACP786467 AML786459:AML786467 AWH786459:AWH786467 BGD786459:BGD786467 BPZ786459:BPZ786467 BZV786459:BZV786467 CJR786459:CJR786467 CTN786459:CTN786467 DDJ786459:DDJ786467 DNF786459:DNF786467 DXB786459:DXB786467 EGX786459:EGX786467 EQT786459:EQT786467 FAP786459:FAP786467 FKL786459:FKL786467 FUH786459:FUH786467 GED786459:GED786467 GNZ786459:GNZ786467 GXV786459:GXV786467 HHR786459:HHR786467 HRN786459:HRN786467 IBJ786459:IBJ786467 ILF786459:ILF786467 IVB786459:IVB786467 JEX786459:JEX786467 JOT786459:JOT786467 JYP786459:JYP786467 KIL786459:KIL786467 KSH786459:KSH786467 LCD786459:LCD786467 LLZ786459:LLZ786467 LVV786459:LVV786467 MFR786459:MFR786467 MPN786459:MPN786467 MZJ786459:MZJ786467 NJF786459:NJF786467 NTB786459:NTB786467 OCX786459:OCX786467 OMT786459:OMT786467 OWP786459:OWP786467 PGL786459:PGL786467 PQH786459:PQH786467 QAD786459:QAD786467 QJZ786459:QJZ786467 QTV786459:QTV786467 RDR786459:RDR786467 RNN786459:RNN786467 RXJ786459:RXJ786467 SHF786459:SHF786467 SRB786459:SRB786467 TAX786459:TAX786467 TKT786459:TKT786467 TUP786459:TUP786467 UEL786459:UEL786467 UOH786459:UOH786467 UYD786459:UYD786467 VHZ786459:VHZ786467 VRV786459:VRV786467 WBR786459:WBR786467 WLN786459:WLN786467 WVJ786459:WVJ786467 B851995:B852003 IX851995:IX852003 ST851995:ST852003 ACP851995:ACP852003 AML851995:AML852003 AWH851995:AWH852003 BGD851995:BGD852003 BPZ851995:BPZ852003 BZV851995:BZV852003 CJR851995:CJR852003 CTN851995:CTN852003 DDJ851995:DDJ852003 DNF851995:DNF852003 DXB851995:DXB852003 EGX851995:EGX852003 EQT851995:EQT852003 FAP851995:FAP852003 FKL851995:FKL852003 FUH851995:FUH852003 GED851995:GED852003 GNZ851995:GNZ852003 GXV851995:GXV852003 HHR851995:HHR852003 HRN851995:HRN852003 IBJ851995:IBJ852003 ILF851995:ILF852003 IVB851995:IVB852003 JEX851995:JEX852003 JOT851995:JOT852003 JYP851995:JYP852003 KIL851995:KIL852003 KSH851995:KSH852003 LCD851995:LCD852003 LLZ851995:LLZ852003 LVV851995:LVV852003 MFR851995:MFR852003 MPN851995:MPN852003 MZJ851995:MZJ852003 NJF851995:NJF852003 NTB851995:NTB852003 OCX851995:OCX852003 OMT851995:OMT852003 OWP851995:OWP852003 PGL851995:PGL852003 PQH851995:PQH852003 QAD851995:QAD852003 QJZ851995:QJZ852003 QTV851995:QTV852003 RDR851995:RDR852003 RNN851995:RNN852003 RXJ851995:RXJ852003 SHF851995:SHF852003 SRB851995:SRB852003 TAX851995:TAX852003 TKT851995:TKT852003 TUP851995:TUP852003 UEL851995:UEL852003 UOH851995:UOH852003 UYD851995:UYD852003 VHZ851995:VHZ852003 VRV851995:VRV852003 WBR851995:WBR852003 WLN851995:WLN852003 WVJ851995:WVJ852003 B917531:B917539 IX917531:IX917539 ST917531:ST917539 ACP917531:ACP917539 AML917531:AML917539 AWH917531:AWH917539 BGD917531:BGD917539 BPZ917531:BPZ917539 BZV917531:BZV917539 CJR917531:CJR917539 CTN917531:CTN917539 DDJ917531:DDJ917539 DNF917531:DNF917539 DXB917531:DXB917539 EGX917531:EGX917539 EQT917531:EQT917539 FAP917531:FAP917539 FKL917531:FKL917539 FUH917531:FUH917539 GED917531:GED917539 GNZ917531:GNZ917539 GXV917531:GXV917539 HHR917531:HHR917539 HRN917531:HRN917539 IBJ917531:IBJ917539 ILF917531:ILF917539 IVB917531:IVB917539 JEX917531:JEX917539 JOT917531:JOT917539 JYP917531:JYP917539 KIL917531:KIL917539 KSH917531:KSH917539 LCD917531:LCD917539 LLZ917531:LLZ917539 LVV917531:LVV917539 MFR917531:MFR917539 MPN917531:MPN917539 MZJ917531:MZJ917539 NJF917531:NJF917539 NTB917531:NTB917539 OCX917531:OCX917539 OMT917531:OMT917539 OWP917531:OWP917539 PGL917531:PGL917539 PQH917531:PQH917539 QAD917531:QAD917539 QJZ917531:QJZ917539 QTV917531:QTV917539 RDR917531:RDR917539 RNN917531:RNN917539 RXJ917531:RXJ917539 SHF917531:SHF917539 SRB917531:SRB917539 TAX917531:TAX917539 TKT917531:TKT917539 TUP917531:TUP917539 UEL917531:UEL917539 UOH917531:UOH917539 UYD917531:UYD917539 VHZ917531:VHZ917539 VRV917531:VRV917539 WBR917531:WBR917539 WLN917531:WLN917539 WVJ917531:WVJ917539 B983067:B983075 IX983067:IX983075 ST983067:ST983075 ACP983067:ACP983075 AML983067:AML983075 AWH983067:AWH983075 BGD983067:BGD983075 BPZ983067:BPZ983075 BZV983067:BZV983075 CJR983067:CJR983075 CTN983067:CTN983075 DDJ983067:DDJ983075 DNF983067:DNF983075 DXB983067:DXB983075 EGX983067:EGX983075 EQT983067:EQT983075 FAP983067:FAP983075 FKL983067:FKL983075 FUH983067:FUH983075 GED983067:GED983075 GNZ983067:GNZ983075 GXV983067:GXV983075 HHR983067:HHR983075 HRN983067:HRN983075 IBJ983067:IBJ983075 ILF983067:ILF983075 IVB983067:IVB983075 JEX983067:JEX983075 JOT983067:JOT983075 JYP983067:JYP983075 KIL983067:KIL983075 KSH983067:KSH983075 LCD983067:LCD983075 LLZ983067:LLZ983075 LVV983067:LVV983075 MFR983067:MFR983075 MPN983067:MPN983075 MZJ983067:MZJ983075 NJF983067:NJF983075 NTB983067:NTB983075 OCX983067:OCX983075 OMT983067:OMT983075 OWP983067:OWP983075 PGL983067:PGL983075 PQH983067:PQH983075 QAD983067:QAD983075 QJZ983067:QJZ983075 QTV983067:QTV983075 RDR983067:RDR983075 RNN983067:RNN983075 RXJ983067:RXJ983075 SHF983067:SHF983075 SRB983067:SRB983075 TAX983067:TAX983075 TKT983067:TKT983075 TUP983067:TUP983075 UEL983067:UEL983075 UOH983067:UOH983075 UYD983067:UYD983075 VHZ983067:VHZ983075 VRV983067:VRV983075 WBR983067:WBR983075 WLN983067:WLN983075 WVJ983067:WVJ983075 G32:L55 JC32:JH55 SY32:TD55 ACU32:ACZ55 AMQ32:AMV55 AWM32:AWR55 BGI32:BGN55 BQE32:BQJ55 CAA32:CAF55 CJW32:CKB55 CTS32:CTX55 DDO32:DDT55 DNK32:DNP55 DXG32:DXL55 EHC32:EHH55 EQY32:ERD55 FAU32:FAZ55 FKQ32:FKV55 FUM32:FUR55 GEI32:GEN55 GOE32:GOJ55 GYA32:GYF55 HHW32:HIB55 HRS32:HRX55 IBO32:IBT55 ILK32:ILP55 IVG32:IVL55 JFC32:JFH55 JOY32:JPD55 JYU32:JYZ55 KIQ32:KIV55 KSM32:KSR55 LCI32:LCN55 LME32:LMJ55 LWA32:LWF55 MFW32:MGB55 MPS32:MPX55 MZO32:MZT55 NJK32:NJP55 NTG32:NTL55 ODC32:ODH55 OMY32:OND55 OWU32:OWZ55 PGQ32:PGV55 PQM32:PQR55 QAI32:QAN55 QKE32:QKJ55 QUA32:QUF55 RDW32:REB55 RNS32:RNX55 RXO32:RXT55 SHK32:SHP55 SRG32:SRL55 TBC32:TBH55 TKY32:TLD55 TUU32:TUZ55 UEQ32:UEV55 UOM32:UOR55 UYI32:UYN55 VIE32:VIJ55 VSA32:VSF55 WBW32:WCB55 WLS32:WLX55 WVO32:WVT55 G65571:L65591 JC65571:JH65591 SY65571:TD65591 ACU65571:ACZ65591 AMQ65571:AMV65591 AWM65571:AWR65591 BGI65571:BGN65591 BQE65571:BQJ65591 CAA65571:CAF65591 CJW65571:CKB65591 CTS65571:CTX65591 DDO65571:DDT65591 DNK65571:DNP65591 DXG65571:DXL65591 EHC65571:EHH65591 EQY65571:ERD65591 FAU65571:FAZ65591 FKQ65571:FKV65591 FUM65571:FUR65591 GEI65571:GEN65591 GOE65571:GOJ65591 GYA65571:GYF65591 HHW65571:HIB65591 HRS65571:HRX65591 IBO65571:IBT65591 ILK65571:ILP65591 IVG65571:IVL65591 JFC65571:JFH65591 JOY65571:JPD65591 JYU65571:JYZ65591 KIQ65571:KIV65591 KSM65571:KSR65591 LCI65571:LCN65591 LME65571:LMJ65591 LWA65571:LWF65591 MFW65571:MGB65591 MPS65571:MPX65591 MZO65571:MZT65591 NJK65571:NJP65591 NTG65571:NTL65591 ODC65571:ODH65591 OMY65571:OND65591 OWU65571:OWZ65591 PGQ65571:PGV65591 PQM65571:PQR65591 QAI65571:QAN65591 QKE65571:QKJ65591 QUA65571:QUF65591 RDW65571:REB65591 RNS65571:RNX65591 RXO65571:RXT65591 SHK65571:SHP65591 SRG65571:SRL65591 TBC65571:TBH65591 TKY65571:TLD65591 TUU65571:TUZ65591 UEQ65571:UEV65591 UOM65571:UOR65591 UYI65571:UYN65591 VIE65571:VIJ65591 VSA65571:VSF65591 WBW65571:WCB65591 WLS65571:WLX65591 WVO65571:WVT65591 G131107:L131127 JC131107:JH131127 SY131107:TD131127 ACU131107:ACZ131127 AMQ131107:AMV131127 AWM131107:AWR131127 BGI131107:BGN131127 BQE131107:BQJ131127 CAA131107:CAF131127 CJW131107:CKB131127 CTS131107:CTX131127 DDO131107:DDT131127 DNK131107:DNP131127 DXG131107:DXL131127 EHC131107:EHH131127 EQY131107:ERD131127 FAU131107:FAZ131127 FKQ131107:FKV131127 FUM131107:FUR131127 GEI131107:GEN131127 GOE131107:GOJ131127 GYA131107:GYF131127 HHW131107:HIB131127 HRS131107:HRX131127 IBO131107:IBT131127 ILK131107:ILP131127 IVG131107:IVL131127 JFC131107:JFH131127 JOY131107:JPD131127 JYU131107:JYZ131127 KIQ131107:KIV131127 KSM131107:KSR131127 LCI131107:LCN131127 LME131107:LMJ131127 LWA131107:LWF131127 MFW131107:MGB131127 MPS131107:MPX131127 MZO131107:MZT131127 NJK131107:NJP131127 NTG131107:NTL131127 ODC131107:ODH131127 OMY131107:OND131127 OWU131107:OWZ131127 PGQ131107:PGV131127 PQM131107:PQR131127 QAI131107:QAN131127 QKE131107:QKJ131127 QUA131107:QUF131127 RDW131107:REB131127 RNS131107:RNX131127 RXO131107:RXT131127 SHK131107:SHP131127 SRG131107:SRL131127 TBC131107:TBH131127 TKY131107:TLD131127 TUU131107:TUZ131127 UEQ131107:UEV131127 UOM131107:UOR131127 UYI131107:UYN131127 VIE131107:VIJ131127 VSA131107:VSF131127 WBW131107:WCB131127 WLS131107:WLX131127 WVO131107:WVT131127 G196643:L196663 JC196643:JH196663 SY196643:TD196663 ACU196643:ACZ196663 AMQ196643:AMV196663 AWM196643:AWR196663 BGI196643:BGN196663 BQE196643:BQJ196663 CAA196643:CAF196663 CJW196643:CKB196663 CTS196643:CTX196663 DDO196643:DDT196663 DNK196643:DNP196663 DXG196643:DXL196663 EHC196643:EHH196663 EQY196643:ERD196663 FAU196643:FAZ196663 FKQ196643:FKV196663 FUM196643:FUR196663 GEI196643:GEN196663 GOE196643:GOJ196663 GYA196643:GYF196663 HHW196643:HIB196663 HRS196643:HRX196663 IBO196643:IBT196663 ILK196643:ILP196663 IVG196643:IVL196663 JFC196643:JFH196663 JOY196643:JPD196663 JYU196643:JYZ196663 KIQ196643:KIV196663 KSM196643:KSR196663 LCI196643:LCN196663 LME196643:LMJ196663 LWA196643:LWF196663 MFW196643:MGB196663 MPS196643:MPX196663 MZO196643:MZT196663 NJK196643:NJP196663 NTG196643:NTL196663 ODC196643:ODH196663 OMY196643:OND196663 OWU196643:OWZ196663 PGQ196643:PGV196663 PQM196643:PQR196663 QAI196643:QAN196663 QKE196643:QKJ196663 QUA196643:QUF196663 RDW196643:REB196663 RNS196643:RNX196663 RXO196643:RXT196663 SHK196643:SHP196663 SRG196643:SRL196663 TBC196643:TBH196663 TKY196643:TLD196663 TUU196643:TUZ196663 UEQ196643:UEV196663 UOM196643:UOR196663 UYI196643:UYN196663 VIE196643:VIJ196663 VSA196643:VSF196663 WBW196643:WCB196663 WLS196643:WLX196663 WVO196643:WVT196663 G262179:L262199 JC262179:JH262199 SY262179:TD262199 ACU262179:ACZ262199 AMQ262179:AMV262199 AWM262179:AWR262199 BGI262179:BGN262199 BQE262179:BQJ262199 CAA262179:CAF262199 CJW262179:CKB262199 CTS262179:CTX262199 DDO262179:DDT262199 DNK262179:DNP262199 DXG262179:DXL262199 EHC262179:EHH262199 EQY262179:ERD262199 FAU262179:FAZ262199 FKQ262179:FKV262199 FUM262179:FUR262199 GEI262179:GEN262199 GOE262179:GOJ262199 GYA262179:GYF262199 HHW262179:HIB262199 HRS262179:HRX262199 IBO262179:IBT262199 ILK262179:ILP262199 IVG262179:IVL262199 JFC262179:JFH262199 JOY262179:JPD262199 JYU262179:JYZ262199 KIQ262179:KIV262199 KSM262179:KSR262199 LCI262179:LCN262199 LME262179:LMJ262199 LWA262179:LWF262199 MFW262179:MGB262199 MPS262179:MPX262199 MZO262179:MZT262199 NJK262179:NJP262199 NTG262179:NTL262199 ODC262179:ODH262199 OMY262179:OND262199 OWU262179:OWZ262199 PGQ262179:PGV262199 PQM262179:PQR262199 QAI262179:QAN262199 QKE262179:QKJ262199 QUA262179:QUF262199 RDW262179:REB262199 RNS262179:RNX262199 RXO262179:RXT262199 SHK262179:SHP262199 SRG262179:SRL262199 TBC262179:TBH262199 TKY262179:TLD262199 TUU262179:TUZ262199 UEQ262179:UEV262199 UOM262179:UOR262199 UYI262179:UYN262199 VIE262179:VIJ262199 VSA262179:VSF262199 WBW262179:WCB262199 WLS262179:WLX262199 WVO262179:WVT262199 G327715:L327735 JC327715:JH327735 SY327715:TD327735 ACU327715:ACZ327735 AMQ327715:AMV327735 AWM327715:AWR327735 BGI327715:BGN327735 BQE327715:BQJ327735 CAA327715:CAF327735 CJW327715:CKB327735 CTS327715:CTX327735 DDO327715:DDT327735 DNK327715:DNP327735 DXG327715:DXL327735 EHC327715:EHH327735 EQY327715:ERD327735 FAU327715:FAZ327735 FKQ327715:FKV327735 FUM327715:FUR327735 GEI327715:GEN327735 GOE327715:GOJ327735 GYA327715:GYF327735 HHW327715:HIB327735 HRS327715:HRX327735 IBO327715:IBT327735 ILK327715:ILP327735 IVG327715:IVL327735 JFC327715:JFH327735 JOY327715:JPD327735 JYU327715:JYZ327735 KIQ327715:KIV327735 KSM327715:KSR327735 LCI327715:LCN327735 LME327715:LMJ327735 LWA327715:LWF327735 MFW327715:MGB327735 MPS327715:MPX327735 MZO327715:MZT327735 NJK327715:NJP327735 NTG327715:NTL327735 ODC327715:ODH327735 OMY327715:OND327735 OWU327715:OWZ327735 PGQ327715:PGV327735 PQM327715:PQR327735 QAI327715:QAN327735 QKE327715:QKJ327735 QUA327715:QUF327735 RDW327715:REB327735 RNS327715:RNX327735 RXO327715:RXT327735 SHK327715:SHP327735 SRG327715:SRL327735 TBC327715:TBH327735 TKY327715:TLD327735 TUU327715:TUZ327735 UEQ327715:UEV327735 UOM327715:UOR327735 UYI327715:UYN327735 VIE327715:VIJ327735 VSA327715:VSF327735 WBW327715:WCB327735 WLS327715:WLX327735 WVO327715:WVT327735 G393251:L393271 JC393251:JH393271 SY393251:TD393271 ACU393251:ACZ393271 AMQ393251:AMV393271 AWM393251:AWR393271 BGI393251:BGN393271 BQE393251:BQJ393271 CAA393251:CAF393271 CJW393251:CKB393271 CTS393251:CTX393271 DDO393251:DDT393271 DNK393251:DNP393271 DXG393251:DXL393271 EHC393251:EHH393271 EQY393251:ERD393271 FAU393251:FAZ393271 FKQ393251:FKV393271 FUM393251:FUR393271 GEI393251:GEN393271 GOE393251:GOJ393271 GYA393251:GYF393271 HHW393251:HIB393271 HRS393251:HRX393271 IBO393251:IBT393271 ILK393251:ILP393271 IVG393251:IVL393271 JFC393251:JFH393271 JOY393251:JPD393271 JYU393251:JYZ393271 KIQ393251:KIV393271 KSM393251:KSR393271 LCI393251:LCN393271 LME393251:LMJ393271 LWA393251:LWF393271 MFW393251:MGB393271 MPS393251:MPX393271 MZO393251:MZT393271 NJK393251:NJP393271 NTG393251:NTL393271 ODC393251:ODH393271 OMY393251:OND393271 OWU393251:OWZ393271 PGQ393251:PGV393271 PQM393251:PQR393271 QAI393251:QAN393271 QKE393251:QKJ393271 QUA393251:QUF393271 RDW393251:REB393271 RNS393251:RNX393271 RXO393251:RXT393271 SHK393251:SHP393271 SRG393251:SRL393271 TBC393251:TBH393271 TKY393251:TLD393271 TUU393251:TUZ393271 UEQ393251:UEV393271 UOM393251:UOR393271 UYI393251:UYN393271 VIE393251:VIJ393271 VSA393251:VSF393271 WBW393251:WCB393271 WLS393251:WLX393271 WVO393251:WVT393271 G458787:L458807 JC458787:JH458807 SY458787:TD458807 ACU458787:ACZ458807 AMQ458787:AMV458807 AWM458787:AWR458807 BGI458787:BGN458807 BQE458787:BQJ458807 CAA458787:CAF458807 CJW458787:CKB458807 CTS458787:CTX458807 DDO458787:DDT458807 DNK458787:DNP458807 DXG458787:DXL458807 EHC458787:EHH458807 EQY458787:ERD458807 FAU458787:FAZ458807 FKQ458787:FKV458807 FUM458787:FUR458807 GEI458787:GEN458807 GOE458787:GOJ458807 GYA458787:GYF458807 HHW458787:HIB458807 HRS458787:HRX458807 IBO458787:IBT458807 ILK458787:ILP458807 IVG458787:IVL458807 JFC458787:JFH458807 JOY458787:JPD458807 JYU458787:JYZ458807 KIQ458787:KIV458807 KSM458787:KSR458807 LCI458787:LCN458807 LME458787:LMJ458807 LWA458787:LWF458807 MFW458787:MGB458807 MPS458787:MPX458807 MZO458787:MZT458807 NJK458787:NJP458807 NTG458787:NTL458807 ODC458787:ODH458807 OMY458787:OND458807 OWU458787:OWZ458807 PGQ458787:PGV458807 PQM458787:PQR458807 QAI458787:QAN458807 QKE458787:QKJ458807 QUA458787:QUF458807 RDW458787:REB458807 RNS458787:RNX458807 RXO458787:RXT458807 SHK458787:SHP458807 SRG458787:SRL458807 TBC458787:TBH458807 TKY458787:TLD458807 TUU458787:TUZ458807 UEQ458787:UEV458807 UOM458787:UOR458807 UYI458787:UYN458807 VIE458787:VIJ458807 VSA458787:VSF458807 WBW458787:WCB458807 WLS458787:WLX458807 WVO458787:WVT458807 G524323:L524343 JC524323:JH524343 SY524323:TD524343 ACU524323:ACZ524343 AMQ524323:AMV524343 AWM524323:AWR524343 BGI524323:BGN524343 BQE524323:BQJ524343 CAA524323:CAF524343 CJW524323:CKB524343 CTS524323:CTX524343 DDO524323:DDT524343 DNK524323:DNP524343 DXG524323:DXL524343 EHC524323:EHH524343 EQY524323:ERD524343 FAU524323:FAZ524343 FKQ524323:FKV524343 FUM524323:FUR524343 GEI524323:GEN524343 GOE524323:GOJ524343 GYA524323:GYF524343 HHW524323:HIB524343 HRS524323:HRX524343 IBO524323:IBT524343 ILK524323:ILP524343 IVG524323:IVL524343 JFC524323:JFH524343 JOY524323:JPD524343 JYU524323:JYZ524343 KIQ524323:KIV524343 KSM524323:KSR524343 LCI524323:LCN524343 LME524323:LMJ524343 LWA524323:LWF524343 MFW524323:MGB524343 MPS524323:MPX524343 MZO524323:MZT524343 NJK524323:NJP524343 NTG524323:NTL524343 ODC524323:ODH524343 OMY524323:OND524343 OWU524323:OWZ524343 PGQ524323:PGV524343 PQM524323:PQR524343 QAI524323:QAN524343 QKE524323:QKJ524343 QUA524323:QUF524343 RDW524323:REB524343 RNS524323:RNX524343 RXO524323:RXT524343 SHK524323:SHP524343 SRG524323:SRL524343 TBC524323:TBH524343 TKY524323:TLD524343 TUU524323:TUZ524343 UEQ524323:UEV524343 UOM524323:UOR524343 UYI524323:UYN524343 VIE524323:VIJ524343 VSA524323:VSF524343 WBW524323:WCB524343 WLS524323:WLX524343 WVO524323:WVT524343 G589859:L589879 JC589859:JH589879 SY589859:TD589879 ACU589859:ACZ589879 AMQ589859:AMV589879 AWM589859:AWR589879 BGI589859:BGN589879 BQE589859:BQJ589879 CAA589859:CAF589879 CJW589859:CKB589879 CTS589859:CTX589879 DDO589859:DDT589879 DNK589859:DNP589879 DXG589859:DXL589879 EHC589859:EHH589879 EQY589859:ERD589879 FAU589859:FAZ589879 FKQ589859:FKV589879 FUM589859:FUR589879 GEI589859:GEN589879 GOE589859:GOJ589879 GYA589859:GYF589879 HHW589859:HIB589879 HRS589859:HRX589879 IBO589859:IBT589879 ILK589859:ILP589879 IVG589859:IVL589879 JFC589859:JFH589879 JOY589859:JPD589879 JYU589859:JYZ589879 KIQ589859:KIV589879 KSM589859:KSR589879 LCI589859:LCN589879 LME589859:LMJ589879 LWA589859:LWF589879 MFW589859:MGB589879 MPS589859:MPX589879 MZO589859:MZT589879 NJK589859:NJP589879 NTG589859:NTL589879 ODC589859:ODH589879 OMY589859:OND589879 OWU589859:OWZ589879 PGQ589859:PGV589879 PQM589859:PQR589879 QAI589859:QAN589879 QKE589859:QKJ589879 QUA589859:QUF589879 RDW589859:REB589879 RNS589859:RNX589879 RXO589859:RXT589879 SHK589859:SHP589879 SRG589859:SRL589879 TBC589859:TBH589879 TKY589859:TLD589879 TUU589859:TUZ589879 UEQ589859:UEV589879 UOM589859:UOR589879 UYI589859:UYN589879 VIE589859:VIJ589879 VSA589859:VSF589879 WBW589859:WCB589879 WLS589859:WLX589879 WVO589859:WVT589879 G655395:L655415 JC655395:JH655415 SY655395:TD655415 ACU655395:ACZ655415 AMQ655395:AMV655415 AWM655395:AWR655415 BGI655395:BGN655415 BQE655395:BQJ655415 CAA655395:CAF655415 CJW655395:CKB655415 CTS655395:CTX655415 DDO655395:DDT655415 DNK655395:DNP655415 DXG655395:DXL655415 EHC655395:EHH655415 EQY655395:ERD655415 FAU655395:FAZ655415 FKQ655395:FKV655415 FUM655395:FUR655415 GEI655395:GEN655415 GOE655395:GOJ655415 GYA655395:GYF655415 HHW655395:HIB655415 HRS655395:HRX655415 IBO655395:IBT655415 ILK655395:ILP655415 IVG655395:IVL655415 JFC655395:JFH655415 JOY655395:JPD655415 JYU655395:JYZ655415 KIQ655395:KIV655415 KSM655395:KSR655415 LCI655395:LCN655415 LME655395:LMJ655415 LWA655395:LWF655415 MFW655395:MGB655415 MPS655395:MPX655415 MZO655395:MZT655415 NJK655395:NJP655415 NTG655395:NTL655415 ODC655395:ODH655415 OMY655395:OND655415 OWU655395:OWZ655415 PGQ655395:PGV655415 PQM655395:PQR655415 QAI655395:QAN655415 QKE655395:QKJ655415 QUA655395:QUF655415 RDW655395:REB655415 RNS655395:RNX655415 RXO655395:RXT655415 SHK655395:SHP655415 SRG655395:SRL655415 TBC655395:TBH655415 TKY655395:TLD655415 TUU655395:TUZ655415 UEQ655395:UEV655415 UOM655395:UOR655415 UYI655395:UYN655415 VIE655395:VIJ655415 VSA655395:VSF655415 WBW655395:WCB655415 WLS655395:WLX655415 WVO655395:WVT655415 G720931:L720951 JC720931:JH720951 SY720931:TD720951 ACU720931:ACZ720951 AMQ720931:AMV720951 AWM720931:AWR720951 BGI720931:BGN720951 BQE720931:BQJ720951 CAA720931:CAF720951 CJW720931:CKB720951 CTS720931:CTX720951 DDO720931:DDT720951 DNK720931:DNP720951 DXG720931:DXL720951 EHC720931:EHH720951 EQY720931:ERD720951 FAU720931:FAZ720951 FKQ720931:FKV720951 FUM720931:FUR720951 GEI720931:GEN720951 GOE720931:GOJ720951 GYA720931:GYF720951 HHW720931:HIB720951 HRS720931:HRX720951 IBO720931:IBT720951 ILK720931:ILP720951 IVG720931:IVL720951 JFC720931:JFH720951 JOY720931:JPD720951 JYU720931:JYZ720951 KIQ720931:KIV720951 KSM720931:KSR720951 LCI720931:LCN720951 LME720931:LMJ720951 LWA720931:LWF720951 MFW720931:MGB720951 MPS720931:MPX720951 MZO720931:MZT720951 NJK720931:NJP720951 NTG720931:NTL720951 ODC720931:ODH720951 OMY720931:OND720951 OWU720931:OWZ720951 PGQ720931:PGV720951 PQM720931:PQR720951 QAI720931:QAN720951 QKE720931:QKJ720951 QUA720931:QUF720951 RDW720931:REB720951 RNS720931:RNX720951 RXO720931:RXT720951 SHK720931:SHP720951 SRG720931:SRL720951 TBC720931:TBH720951 TKY720931:TLD720951 TUU720931:TUZ720951 UEQ720931:UEV720951 UOM720931:UOR720951 UYI720931:UYN720951 VIE720931:VIJ720951 VSA720931:VSF720951 WBW720931:WCB720951 WLS720931:WLX720951 WVO720931:WVT720951 G786467:L786487 JC786467:JH786487 SY786467:TD786487 ACU786467:ACZ786487 AMQ786467:AMV786487 AWM786467:AWR786487 BGI786467:BGN786487 BQE786467:BQJ786487 CAA786467:CAF786487 CJW786467:CKB786487 CTS786467:CTX786487 DDO786467:DDT786487 DNK786467:DNP786487 DXG786467:DXL786487 EHC786467:EHH786487 EQY786467:ERD786487 FAU786467:FAZ786487 FKQ786467:FKV786487 FUM786467:FUR786487 GEI786467:GEN786487 GOE786467:GOJ786487 GYA786467:GYF786487 HHW786467:HIB786487 HRS786467:HRX786487 IBO786467:IBT786487 ILK786467:ILP786487 IVG786467:IVL786487 JFC786467:JFH786487 JOY786467:JPD786487 JYU786467:JYZ786487 KIQ786467:KIV786487 KSM786467:KSR786487 LCI786467:LCN786487 LME786467:LMJ786487 LWA786467:LWF786487 MFW786467:MGB786487 MPS786467:MPX786487 MZO786467:MZT786487 NJK786467:NJP786487 NTG786467:NTL786487 ODC786467:ODH786487 OMY786467:OND786487 OWU786467:OWZ786487 PGQ786467:PGV786487 PQM786467:PQR786487 QAI786467:QAN786487 QKE786467:QKJ786487 QUA786467:QUF786487 RDW786467:REB786487 RNS786467:RNX786487 RXO786467:RXT786487 SHK786467:SHP786487 SRG786467:SRL786487 TBC786467:TBH786487 TKY786467:TLD786487 TUU786467:TUZ786487 UEQ786467:UEV786487 UOM786467:UOR786487 UYI786467:UYN786487 VIE786467:VIJ786487 VSA786467:VSF786487 WBW786467:WCB786487 WLS786467:WLX786487 WVO786467:WVT786487 G852003:L852023 JC852003:JH852023 SY852003:TD852023 ACU852003:ACZ852023 AMQ852003:AMV852023 AWM852003:AWR852023 BGI852003:BGN852023 BQE852003:BQJ852023 CAA852003:CAF852023 CJW852003:CKB852023 CTS852003:CTX852023 DDO852003:DDT852023 DNK852003:DNP852023 DXG852003:DXL852023 EHC852003:EHH852023 EQY852003:ERD852023 FAU852003:FAZ852023 FKQ852003:FKV852023 FUM852003:FUR852023 GEI852003:GEN852023 GOE852003:GOJ852023 GYA852003:GYF852023 HHW852003:HIB852023 HRS852003:HRX852023 IBO852003:IBT852023 ILK852003:ILP852023 IVG852003:IVL852023 JFC852003:JFH852023 JOY852003:JPD852023 JYU852003:JYZ852023 KIQ852003:KIV852023 KSM852003:KSR852023 LCI852003:LCN852023 LME852003:LMJ852023 LWA852003:LWF852023 MFW852003:MGB852023 MPS852003:MPX852023 MZO852003:MZT852023 NJK852003:NJP852023 NTG852003:NTL852023 ODC852003:ODH852023 OMY852003:OND852023 OWU852003:OWZ852023 PGQ852003:PGV852023 PQM852003:PQR852023 QAI852003:QAN852023 QKE852003:QKJ852023 QUA852003:QUF852023 RDW852003:REB852023 RNS852003:RNX852023 RXO852003:RXT852023 SHK852003:SHP852023 SRG852003:SRL852023 TBC852003:TBH852023 TKY852003:TLD852023 TUU852003:TUZ852023 UEQ852003:UEV852023 UOM852003:UOR852023 UYI852003:UYN852023 VIE852003:VIJ852023 VSA852003:VSF852023 WBW852003:WCB852023 WLS852003:WLX852023 WVO852003:WVT852023 G917539:L917559 JC917539:JH917559 SY917539:TD917559 ACU917539:ACZ917559 AMQ917539:AMV917559 AWM917539:AWR917559 BGI917539:BGN917559 BQE917539:BQJ917559 CAA917539:CAF917559 CJW917539:CKB917559 CTS917539:CTX917559 DDO917539:DDT917559 DNK917539:DNP917559 DXG917539:DXL917559 EHC917539:EHH917559 EQY917539:ERD917559 FAU917539:FAZ917559 FKQ917539:FKV917559 FUM917539:FUR917559 GEI917539:GEN917559 GOE917539:GOJ917559 GYA917539:GYF917559 HHW917539:HIB917559 HRS917539:HRX917559 IBO917539:IBT917559 ILK917539:ILP917559 IVG917539:IVL917559 JFC917539:JFH917559 JOY917539:JPD917559 JYU917539:JYZ917559 KIQ917539:KIV917559 KSM917539:KSR917559 LCI917539:LCN917559 LME917539:LMJ917559 LWA917539:LWF917559 MFW917539:MGB917559 MPS917539:MPX917559 MZO917539:MZT917559 NJK917539:NJP917559 NTG917539:NTL917559 ODC917539:ODH917559 OMY917539:OND917559 OWU917539:OWZ917559 PGQ917539:PGV917559 PQM917539:PQR917559 QAI917539:QAN917559 QKE917539:QKJ917559 QUA917539:QUF917559 RDW917539:REB917559 RNS917539:RNX917559 RXO917539:RXT917559 SHK917539:SHP917559 SRG917539:SRL917559 TBC917539:TBH917559 TKY917539:TLD917559 TUU917539:TUZ917559 UEQ917539:UEV917559 UOM917539:UOR917559 UYI917539:UYN917559 VIE917539:VIJ917559 VSA917539:VSF917559 WBW917539:WCB917559 WLS917539:WLX917559 WVO917539:WVT917559 G983075:L983095 JC983075:JH983095 SY983075:TD983095 ACU983075:ACZ983095 AMQ983075:AMV983095 AWM983075:AWR983095 BGI983075:BGN983095 BQE983075:BQJ983095 CAA983075:CAF983095 CJW983075:CKB983095 CTS983075:CTX983095 DDO983075:DDT983095 DNK983075:DNP983095 DXG983075:DXL983095 EHC983075:EHH983095 EQY983075:ERD983095 FAU983075:FAZ983095 FKQ983075:FKV983095 FUM983075:FUR983095 GEI983075:GEN983095 GOE983075:GOJ983095 GYA983075:GYF983095 HHW983075:HIB983095 HRS983075:HRX983095 IBO983075:IBT983095 ILK983075:ILP983095 IVG983075:IVL983095 JFC983075:JFH983095 JOY983075:JPD983095 JYU983075:JYZ983095 KIQ983075:KIV983095 KSM983075:KSR983095 LCI983075:LCN983095 LME983075:LMJ983095 LWA983075:LWF983095 MFW983075:MGB983095 MPS983075:MPX983095 MZO983075:MZT983095 NJK983075:NJP983095 NTG983075:NTL983095 ODC983075:ODH983095 OMY983075:OND983095 OWU983075:OWZ983095 PGQ983075:PGV983095 PQM983075:PQR983095 QAI983075:QAN983095 QKE983075:QKJ983095 QUA983075:QUF983095 RDW983075:REB983095 RNS983075:RNX983095 RXO983075:RXT983095 SHK983075:SHP983095 SRG983075:SRL983095 TBC983075:TBH983095 TKY983075:TLD983095 TUU983075:TUZ983095 UEQ983075:UEV983095 UOM983075:UOR983095 UYI983075:UYN983095 VIE983075:VIJ983095 VSA983075:VSF983095 WBW983075:WCB983095 WLS983075:WLX983095 WVO983075:WVT983095 A65560:A65591 IV65560:IW65591 SR65560:SS65591 ACN65560:ACO65591 AMJ65560:AMK65591 AWF65560:AWG65591 BGB65560:BGC65591 BPX65560:BPY65591 BZT65560:BZU65591 CJP65560:CJQ65591 CTL65560:CTM65591 DDH65560:DDI65591 DND65560:DNE65591 DWZ65560:DXA65591 EGV65560:EGW65591 EQR65560:EQS65591 FAN65560:FAO65591 FKJ65560:FKK65591 FUF65560:FUG65591 GEB65560:GEC65591 GNX65560:GNY65591 GXT65560:GXU65591 HHP65560:HHQ65591 HRL65560:HRM65591 IBH65560:IBI65591 ILD65560:ILE65591 IUZ65560:IVA65591 JEV65560:JEW65591 JOR65560:JOS65591 JYN65560:JYO65591 KIJ65560:KIK65591 KSF65560:KSG65591 LCB65560:LCC65591 LLX65560:LLY65591 LVT65560:LVU65591 MFP65560:MFQ65591 MPL65560:MPM65591 MZH65560:MZI65591 NJD65560:NJE65591 NSZ65560:NTA65591 OCV65560:OCW65591 OMR65560:OMS65591 OWN65560:OWO65591 PGJ65560:PGK65591 PQF65560:PQG65591 QAB65560:QAC65591 QJX65560:QJY65591 QTT65560:QTU65591 RDP65560:RDQ65591 RNL65560:RNM65591 RXH65560:RXI65591 SHD65560:SHE65591 SQZ65560:SRA65591 TAV65560:TAW65591 TKR65560:TKS65591 TUN65560:TUO65591 UEJ65560:UEK65591 UOF65560:UOG65591 UYB65560:UYC65591 VHX65560:VHY65591 VRT65560:VRU65591 WBP65560:WBQ65591 WLL65560:WLM65591 WVH65560:WVI65591 A131096:A131127 IV131096:IW131127 SR131096:SS131127 ACN131096:ACO131127 AMJ131096:AMK131127 AWF131096:AWG131127 BGB131096:BGC131127 BPX131096:BPY131127 BZT131096:BZU131127 CJP131096:CJQ131127 CTL131096:CTM131127 DDH131096:DDI131127 DND131096:DNE131127 DWZ131096:DXA131127 EGV131096:EGW131127 EQR131096:EQS131127 FAN131096:FAO131127 FKJ131096:FKK131127 FUF131096:FUG131127 GEB131096:GEC131127 GNX131096:GNY131127 GXT131096:GXU131127 HHP131096:HHQ131127 HRL131096:HRM131127 IBH131096:IBI131127 ILD131096:ILE131127 IUZ131096:IVA131127 JEV131096:JEW131127 JOR131096:JOS131127 JYN131096:JYO131127 KIJ131096:KIK131127 KSF131096:KSG131127 LCB131096:LCC131127 LLX131096:LLY131127 LVT131096:LVU131127 MFP131096:MFQ131127 MPL131096:MPM131127 MZH131096:MZI131127 NJD131096:NJE131127 NSZ131096:NTA131127 OCV131096:OCW131127 OMR131096:OMS131127 OWN131096:OWO131127 PGJ131096:PGK131127 PQF131096:PQG131127 QAB131096:QAC131127 QJX131096:QJY131127 QTT131096:QTU131127 RDP131096:RDQ131127 RNL131096:RNM131127 RXH131096:RXI131127 SHD131096:SHE131127 SQZ131096:SRA131127 TAV131096:TAW131127 TKR131096:TKS131127 TUN131096:TUO131127 UEJ131096:UEK131127 UOF131096:UOG131127 UYB131096:UYC131127 VHX131096:VHY131127 VRT131096:VRU131127 WBP131096:WBQ131127 WLL131096:WLM131127 WVH131096:WVI131127 A196632:A196663 IV196632:IW196663 SR196632:SS196663 ACN196632:ACO196663 AMJ196632:AMK196663 AWF196632:AWG196663 BGB196632:BGC196663 BPX196632:BPY196663 BZT196632:BZU196663 CJP196632:CJQ196663 CTL196632:CTM196663 DDH196632:DDI196663 DND196632:DNE196663 DWZ196632:DXA196663 EGV196632:EGW196663 EQR196632:EQS196663 FAN196632:FAO196663 FKJ196632:FKK196663 FUF196632:FUG196663 GEB196632:GEC196663 GNX196632:GNY196663 GXT196632:GXU196663 HHP196632:HHQ196663 HRL196632:HRM196663 IBH196632:IBI196663 ILD196632:ILE196663 IUZ196632:IVA196663 JEV196632:JEW196663 JOR196632:JOS196663 JYN196632:JYO196663 KIJ196632:KIK196663 KSF196632:KSG196663 LCB196632:LCC196663 LLX196632:LLY196663 LVT196632:LVU196663 MFP196632:MFQ196663 MPL196632:MPM196663 MZH196632:MZI196663 NJD196632:NJE196663 NSZ196632:NTA196663 OCV196632:OCW196663 OMR196632:OMS196663 OWN196632:OWO196663 PGJ196632:PGK196663 PQF196632:PQG196663 QAB196632:QAC196663 QJX196632:QJY196663 QTT196632:QTU196663 RDP196632:RDQ196663 RNL196632:RNM196663 RXH196632:RXI196663 SHD196632:SHE196663 SQZ196632:SRA196663 TAV196632:TAW196663 TKR196632:TKS196663 TUN196632:TUO196663 UEJ196632:UEK196663 UOF196632:UOG196663 UYB196632:UYC196663 VHX196632:VHY196663 VRT196632:VRU196663 WBP196632:WBQ196663 WLL196632:WLM196663 WVH196632:WVI196663 A262168:A262199 IV262168:IW262199 SR262168:SS262199 ACN262168:ACO262199 AMJ262168:AMK262199 AWF262168:AWG262199 BGB262168:BGC262199 BPX262168:BPY262199 BZT262168:BZU262199 CJP262168:CJQ262199 CTL262168:CTM262199 DDH262168:DDI262199 DND262168:DNE262199 DWZ262168:DXA262199 EGV262168:EGW262199 EQR262168:EQS262199 FAN262168:FAO262199 FKJ262168:FKK262199 FUF262168:FUG262199 GEB262168:GEC262199 GNX262168:GNY262199 GXT262168:GXU262199 HHP262168:HHQ262199 HRL262168:HRM262199 IBH262168:IBI262199 ILD262168:ILE262199 IUZ262168:IVA262199 JEV262168:JEW262199 JOR262168:JOS262199 JYN262168:JYO262199 KIJ262168:KIK262199 KSF262168:KSG262199 LCB262168:LCC262199 LLX262168:LLY262199 LVT262168:LVU262199 MFP262168:MFQ262199 MPL262168:MPM262199 MZH262168:MZI262199 NJD262168:NJE262199 NSZ262168:NTA262199 OCV262168:OCW262199 OMR262168:OMS262199 OWN262168:OWO262199 PGJ262168:PGK262199 PQF262168:PQG262199 QAB262168:QAC262199 QJX262168:QJY262199 QTT262168:QTU262199 RDP262168:RDQ262199 RNL262168:RNM262199 RXH262168:RXI262199 SHD262168:SHE262199 SQZ262168:SRA262199 TAV262168:TAW262199 TKR262168:TKS262199 TUN262168:TUO262199 UEJ262168:UEK262199 UOF262168:UOG262199 UYB262168:UYC262199 VHX262168:VHY262199 VRT262168:VRU262199 WBP262168:WBQ262199 WLL262168:WLM262199 WVH262168:WVI262199 A327704:A327735 IV327704:IW327735 SR327704:SS327735 ACN327704:ACO327735 AMJ327704:AMK327735 AWF327704:AWG327735 BGB327704:BGC327735 BPX327704:BPY327735 BZT327704:BZU327735 CJP327704:CJQ327735 CTL327704:CTM327735 DDH327704:DDI327735 DND327704:DNE327735 DWZ327704:DXA327735 EGV327704:EGW327735 EQR327704:EQS327735 FAN327704:FAO327735 FKJ327704:FKK327735 FUF327704:FUG327735 GEB327704:GEC327735 GNX327704:GNY327735 GXT327704:GXU327735 HHP327704:HHQ327735 HRL327704:HRM327735 IBH327704:IBI327735 ILD327704:ILE327735 IUZ327704:IVA327735 JEV327704:JEW327735 JOR327704:JOS327735 JYN327704:JYO327735 KIJ327704:KIK327735 KSF327704:KSG327735 LCB327704:LCC327735 LLX327704:LLY327735 LVT327704:LVU327735 MFP327704:MFQ327735 MPL327704:MPM327735 MZH327704:MZI327735 NJD327704:NJE327735 NSZ327704:NTA327735 OCV327704:OCW327735 OMR327704:OMS327735 OWN327704:OWO327735 PGJ327704:PGK327735 PQF327704:PQG327735 QAB327704:QAC327735 QJX327704:QJY327735 QTT327704:QTU327735 RDP327704:RDQ327735 RNL327704:RNM327735 RXH327704:RXI327735 SHD327704:SHE327735 SQZ327704:SRA327735 TAV327704:TAW327735 TKR327704:TKS327735 TUN327704:TUO327735 UEJ327704:UEK327735 UOF327704:UOG327735 UYB327704:UYC327735 VHX327704:VHY327735 VRT327704:VRU327735 WBP327704:WBQ327735 WLL327704:WLM327735 WVH327704:WVI327735 A393240:A393271 IV393240:IW393271 SR393240:SS393271 ACN393240:ACO393271 AMJ393240:AMK393271 AWF393240:AWG393271 BGB393240:BGC393271 BPX393240:BPY393271 BZT393240:BZU393271 CJP393240:CJQ393271 CTL393240:CTM393271 DDH393240:DDI393271 DND393240:DNE393271 DWZ393240:DXA393271 EGV393240:EGW393271 EQR393240:EQS393271 FAN393240:FAO393271 FKJ393240:FKK393271 FUF393240:FUG393271 GEB393240:GEC393271 GNX393240:GNY393271 GXT393240:GXU393271 HHP393240:HHQ393271 HRL393240:HRM393271 IBH393240:IBI393271 ILD393240:ILE393271 IUZ393240:IVA393271 JEV393240:JEW393271 JOR393240:JOS393271 JYN393240:JYO393271 KIJ393240:KIK393271 KSF393240:KSG393271 LCB393240:LCC393271 LLX393240:LLY393271 LVT393240:LVU393271 MFP393240:MFQ393271 MPL393240:MPM393271 MZH393240:MZI393271 NJD393240:NJE393271 NSZ393240:NTA393271 OCV393240:OCW393271 OMR393240:OMS393271 OWN393240:OWO393271 PGJ393240:PGK393271 PQF393240:PQG393271 QAB393240:QAC393271 QJX393240:QJY393271 QTT393240:QTU393271 RDP393240:RDQ393271 RNL393240:RNM393271 RXH393240:RXI393271 SHD393240:SHE393271 SQZ393240:SRA393271 TAV393240:TAW393271 TKR393240:TKS393271 TUN393240:TUO393271 UEJ393240:UEK393271 UOF393240:UOG393271 UYB393240:UYC393271 VHX393240:VHY393271 VRT393240:VRU393271 WBP393240:WBQ393271 WLL393240:WLM393271 WVH393240:WVI393271 A458776:A458807 IV458776:IW458807 SR458776:SS458807 ACN458776:ACO458807 AMJ458776:AMK458807 AWF458776:AWG458807 BGB458776:BGC458807 BPX458776:BPY458807 BZT458776:BZU458807 CJP458776:CJQ458807 CTL458776:CTM458807 DDH458776:DDI458807 DND458776:DNE458807 DWZ458776:DXA458807 EGV458776:EGW458807 EQR458776:EQS458807 FAN458776:FAO458807 FKJ458776:FKK458807 FUF458776:FUG458807 GEB458776:GEC458807 GNX458776:GNY458807 GXT458776:GXU458807 HHP458776:HHQ458807 HRL458776:HRM458807 IBH458776:IBI458807 ILD458776:ILE458807 IUZ458776:IVA458807 JEV458776:JEW458807 JOR458776:JOS458807 JYN458776:JYO458807 KIJ458776:KIK458807 KSF458776:KSG458807 LCB458776:LCC458807 LLX458776:LLY458807 LVT458776:LVU458807 MFP458776:MFQ458807 MPL458776:MPM458807 MZH458776:MZI458807 NJD458776:NJE458807 NSZ458776:NTA458807 OCV458776:OCW458807 OMR458776:OMS458807 OWN458776:OWO458807 PGJ458776:PGK458807 PQF458776:PQG458807 QAB458776:QAC458807 QJX458776:QJY458807 QTT458776:QTU458807 RDP458776:RDQ458807 RNL458776:RNM458807 RXH458776:RXI458807 SHD458776:SHE458807 SQZ458776:SRA458807 TAV458776:TAW458807 TKR458776:TKS458807 TUN458776:TUO458807 UEJ458776:UEK458807 UOF458776:UOG458807 UYB458776:UYC458807 VHX458776:VHY458807 VRT458776:VRU458807 WBP458776:WBQ458807 WLL458776:WLM458807 WVH458776:WVI458807 A524312:A524343 IV524312:IW524343 SR524312:SS524343 ACN524312:ACO524343 AMJ524312:AMK524343 AWF524312:AWG524343 BGB524312:BGC524343 BPX524312:BPY524343 BZT524312:BZU524343 CJP524312:CJQ524343 CTL524312:CTM524343 DDH524312:DDI524343 DND524312:DNE524343 DWZ524312:DXA524343 EGV524312:EGW524343 EQR524312:EQS524343 FAN524312:FAO524343 FKJ524312:FKK524343 FUF524312:FUG524343 GEB524312:GEC524343 GNX524312:GNY524343 GXT524312:GXU524343 HHP524312:HHQ524343 HRL524312:HRM524343 IBH524312:IBI524343 ILD524312:ILE524343 IUZ524312:IVA524343 JEV524312:JEW524343 JOR524312:JOS524343 JYN524312:JYO524343 KIJ524312:KIK524343 KSF524312:KSG524343 LCB524312:LCC524343 LLX524312:LLY524343 LVT524312:LVU524343 MFP524312:MFQ524343 MPL524312:MPM524343 MZH524312:MZI524343 NJD524312:NJE524343 NSZ524312:NTA524343 OCV524312:OCW524343 OMR524312:OMS524343 OWN524312:OWO524343 PGJ524312:PGK524343 PQF524312:PQG524343 QAB524312:QAC524343 QJX524312:QJY524343 QTT524312:QTU524343 RDP524312:RDQ524343 RNL524312:RNM524343 RXH524312:RXI524343 SHD524312:SHE524343 SQZ524312:SRA524343 TAV524312:TAW524343 TKR524312:TKS524343 TUN524312:TUO524343 UEJ524312:UEK524343 UOF524312:UOG524343 UYB524312:UYC524343 VHX524312:VHY524343 VRT524312:VRU524343 WBP524312:WBQ524343 WLL524312:WLM524343 WVH524312:WVI524343 A589848:A589879 IV589848:IW589879 SR589848:SS589879 ACN589848:ACO589879 AMJ589848:AMK589879 AWF589848:AWG589879 BGB589848:BGC589879 BPX589848:BPY589879 BZT589848:BZU589879 CJP589848:CJQ589879 CTL589848:CTM589879 DDH589848:DDI589879 DND589848:DNE589879 DWZ589848:DXA589879 EGV589848:EGW589879 EQR589848:EQS589879 FAN589848:FAO589879 FKJ589848:FKK589879 FUF589848:FUG589879 GEB589848:GEC589879 GNX589848:GNY589879 GXT589848:GXU589879 HHP589848:HHQ589879 HRL589848:HRM589879 IBH589848:IBI589879 ILD589848:ILE589879 IUZ589848:IVA589879 JEV589848:JEW589879 JOR589848:JOS589879 JYN589848:JYO589879 KIJ589848:KIK589879 KSF589848:KSG589879 LCB589848:LCC589879 LLX589848:LLY589879 LVT589848:LVU589879 MFP589848:MFQ589879 MPL589848:MPM589879 MZH589848:MZI589879 NJD589848:NJE589879 NSZ589848:NTA589879 OCV589848:OCW589879 OMR589848:OMS589879 OWN589848:OWO589879 PGJ589848:PGK589879 PQF589848:PQG589879 QAB589848:QAC589879 QJX589848:QJY589879 QTT589848:QTU589879 RDP589848:RDQ589879 RNL589848:RNM589879 RXH589848:RXI589879 SHD589848:SHE589879 SQZ589848:SRA589879 TAV589848:TAW589879 TKR589848:TKS589879 TUN589848:TUO589879 UEJ589848:UEK589879 UOF589848:UOG589879 UYB589848:UYC589879 VHX589848:VHY589879 VRT589848:VRU589879 WBP589848:WBQ589879 WLL589848:WLM589879 WVH589848:WVI589879 A655384:A655415 IV655384:IW655415 SR655384:SS655415 ACN655384:ACO655415 AMJ655384:AMK655415 AWF655384:AWG655415 BGB655384:BGC655415 BPX655384:BPY655415 BZT655384:BZU655415 CJP655384:CJQ655415 CTL655384:CTM655415 DDH655384:DDI655415 DND655384:DNE655415 DWZ655384:DXA655415 EGV655384:EGW655415 EQR655384:EQS655415 FAN655384:FAO655415 FKJ655384:FKK655415 FUF655384:FUG655415 GEB655384:GEC655415 GNX655384:GNY655415 GXT655384:GXU655415 HHP655384:HHQ655415 HRL655384:HRM655415 IBH655384:IBI655415 ILD655384:ILE655415 IUZ655384:IVA655415 JEV655384:JEW655415 JOR655384:JOS655415 JYN655384:JYO655415 KIJ655384:KIK655415 KSF655384:KSG655415 LCB655384:LCC655415 LLX655384:LLY655415 LVT655384:LVU655415 MFP655384:MFQ655415 MPL655384:MPM655415 MZH655384:MZI655415 NJD655384:NJE655415 NSZ655384:NTA655415 OCV655384:OCW655415 OMR655384:OMS655415 OWN655384:OWO655415 PGJ655384:PGK655415 PQF655384:PQG655415 QAB655384:QAC655415 QJX655384:QJY655415 QTT655384:QTU655415 RDP655384:RDQ655415 RNL655384:RNM655415 RXH655384:RXI655415 SHD655384:SHE655415 SQZ655384:SRA655415 TAV655384:TAW655415 TKR655384:TKS655415 TUN655384:TUO655415 UEJ655384:UEK655415 UOF655384:UOG655415 UYB655384:UYC655415 VHX655384:VHY655415 VRT655384:VRU655415 WBP655384:WBQ655415 WLL655384:WLM655415 WVH655384:WVI655415 A720920:A720951 IV720920:IW720951 SR720920:SS720951 ACN720920:ACO720951 AMJ720920:AMK720951 AWF720920:AWG720951 BGB720920:BGC720951 BPX720920:BPY720951 BZT720920:BZU720951 CJP720920:CJQ720951 CTL720920:CTM720951 DDH720920:DDI720951 DND720920:DNE720951 DWZ720920:DXA720951 EGV720920:EGW720951 EQR720920:EQS720951 FAN720920:FAO720951 FKJ720920:FKK720951 FUF720920:FUG720951 GEB720920:GEC720951 GNX720920:GNY720951 GXT720920:GXU720951 HHP720920:HHQ720951 HRL720920:HRM720951 IBH720920:IBI720951 ILD720920:ILE720951 IUZ720920:IVA720951 JEV720920:JEW720951 JOR720920:JOS720951 JYN720920:JYO720951 KIJ720920:KIK720951 KSF720920:KSG720951 LCB720920:LCC720951 LLX720920:LLY720951 LVT720920:LVU720951 MFP720920:MFQ720951 MPL720920:MPM720951 MZH720920:MZI720951 NJD720920:NJE720951 NSZ720920:NTA720951 OCV720920:OCW720951 OMR720920:OMS720951 OWN720920:OWO720951 PGJ720920:PGK720951 PQF720920:PQG720951 QAB720920:QAC720951 QJX720920:QJY720951 QTT720920:QTU720951 RDP720920:RDQ720951 RNL720920:RNM720951 RXH720920:RXI720951 SHD720920:SHE720951 SQZ720920:SRA720951 TAV720920:TAW720951 TKR720920:TKS720951 TUN720920:TUO720951 UEJ720920:UEK720951 UOF720920:UOG720951 UYB720920:UYC720951 VHX720920:VHY720951 VRT720920:VRU720951 WBP720920:WBQ720951 WLL720920:WLM720951 WVH720920:WVI720951 A786456:A786487 IV786456:IW786487 SR786456:SS786487 ACN786456:ACO786487 AMJ786456:AMK786487 AWF786456:AWG786487 BGB786456:BGC786487 BPX786456:BPY786487 BZT786456:BZU786487 CJP786456:CJQ786487 CTL786456:CTM786487 DDH786456:DDI786487 DND786456:DNE786487 DWZ786456:DXA786487 EGV786456:EGW786487 EQR786456:EQS786487 FAN786456:FAO786487 FKJ786456:FKK786487 FUF786456:FUG786487 GEB786456:GEC786487 GNX786456:GNY786487 GXT786456:GXU786487 HHP786456:HHQ786487 HRL786456:HRM786487 IBH786456:IBI786487 ILD786456:ILE786487 IUZ786456:IVA786487 JEV786456:JEW786487 JOR786456:JOS786487 JYN786456:JYO786487 KIJ786456:KIK786487 KSF786456:KSG786487 LCB786456:LCC786487 LLX786456:LLY786487 LVT786456:LVU786487 MFP786456:MFQ786487 MPL786456:MPM786487 MZH786456:MZI786487 NJD786456:NJE786487 NSZ786456:NTA786487 OCV786456:OCW786487 OMR786456:OMS786487 OWN786456:OWO786487 PGJ786456:PGK786487 PQF786456:PQG786487 QAB786456:QAC786487 QJX786456:QJY786487 QTT786456:QTU786487 RDP786456:RDQ786487 RNL786456:RNM786487 RXH786456:RXI786487 SHD786456:SHE786487 SQZ786456:SRA786487 TAV786456:TAW786487 TKR786456:TKS786487 TUN786456:TUO786487 UEJ786456:UEK786487 UOF786456:UOG786487 UYB786456:UYC786487 VHX786456:VHY786487 VRT786456:VRU786487 WBP786456:WBQ786487 WLL786456:WLM786487 WVH786456:WVI786487 A851992:A852023 IV851992:IW852023 SR851992:SS852023 ACN851992:ACO852023 AMJ851992:AMK852023 AWF851992:AWG852023 BGB851992:BGC852023 BPX851992:BPY852023 BZT851992:BZU852023 CJP851992:CJQ852023 CTL851992:CTM852023 DDH851992:DDI852023 DND851992:DNE852023 DWZ851992:DXA852023 EGV851992:EGW852023 EQR851992:EQS852023 FAN851992:FAO852023 FKJ851992:FKK852023 FUF851992:FUG852023 GEB851992:GEC852023 GNX851992:GNY852023 GXT851992:GXU852023 HHP851992:HHQ852023 HRL851992:HRM852023 IBH851992:IBI852023 ILD851992:ILE852023 IUZ851992:IVA852023 JEV851992:JEW852023 JOR851992:JOS852023 JYN851992:JYO852023 KIJ851992:KIK852023 KSF851992:KSG852023 LCB851992:LCC852023 LLX851992:LLY852023 LVT851992:LVU852023 MFP851992:MFQ852023 MPL851992:MPM852023 MZH851992:MZI852023 NJD851992:NJE852023 NSZ851992:NTA852023 OCV851992:OCW852023 OMR851992:OMS852023 OWN851992:OWO852023 PGJ851992:PGK852023 PQF851992:PQG852023 QAB851992:QAC852023 QJX851992:QJY852023 QTT851992:QTU852023 RDP851992:RDQ852023 RNL851992:RNM852023 RXH851992:RXI852023 SHD851992:SHE852023 SQZ851992:SRA852023 TAV851992:TAW852023 TKR851992:TKS852023 TUN851992:TUO852023 UEJ851992:UEK852023 UOF851992:UOG852023 UYB851992:UYC852023 VHX851992:VHY852023 VRT851992:VRU852023 WBP851992:WBQ852023 WLL851992:WLM852023 WVH851992:WVI852023 A917528:A917559 IV917528:IW917559 SR917528:SS917559 ACN917528:ACO917559 AMJ917528:AMK917559 AWF917528:AWG917559 BGB917528:BGC917559 BPX917528:BPY917559 BZT917528:BZU917559 CJP917528:CJQ917559 CTL917528:CTM917559 DDH917528:DDI917559 DND917528:DNE917559 DWZ917528:DXA917559 EGV917528:EGW917559 EQR917528:EQS917559 FAN917528:FAO917559 FKJ917528:FKK917559 FUF917528:FUG917559 GEB917528:GEC917559 GNX917528:GNY917559 GXT917528:GXU917559 HHP917528:HHQ917559 HRL917528:HRM917559 IBH917528:IBI917559 ILD917528:ILE917559 IUZ917528:IVA917559 JEV917528:JEW917559 JOR917528:JOS917559 JYN917528:JYO917559 KIJ917528:KIK917559 KSF917528:KSG917559 LCB917528:LCC917559 LLX917528:LLY917559 LVT917528:LVU917559 MFP917528:MFQ917559 MPL917528:MPM917559 MZH917528:MZI917559 NJD917528:NJE917559 NSZ917528:NTA917559 OCV917528:OCW917559 OMR917528:OMS917559 OWN917528:OWO917559 PGJ917528:PGK917559 PQF917528:PQG917559 QAB917528:QAC917559 QJX917528:QJY917559 QTT917528:QTU917559 RDP917528:RDQ917559 RNL917528:RNM917559 RXH917528:RXI917559 SHD917528:SHE917559 SQZ917528:SRA917559 TAV917528:TAW917559 TKR917528:TKS917559 TUN917528:TUO917559 UEJ917528:UEK917559 UOF917528:UOG917559 UYB917528:UYC917559 VHX917528:VHY917559 VRT917528:VRU917559 WBP917528:WBQ917559 WLL917528:WLM917559 WVH917528:WVI917559 A983064:A983095 IV983064:IW983095 SR983064:SS983095 ACN983064:ACO983095 AMJ983064:AMK983095 AWF983064:AWG983095 BGB983064:BGC983095 BPX983064:BPY983095 BZT983064:BZU983095 CJP983064:CJQ983095 CTL983064:CTM983095 DDH983064:DDI983095 DND983064:DNE983095 DWZ983064:DXA983095 EGV983064:EGW983095 EQR983064:EQS983095 FAN983064:FAO983095 FKJ983064:FKK983095 FUF983064:FUG983095 GEB983064:GEC983095 GNX983064:GNY983095 GXT983064:GXU983095 HHP983064:HHQ983095 HRL983064:HRM983095 IBH983064:IBI983095 ILD983064:ILE983095 IUZ983064:IVA983095 JEV983064:JEW983095 JOR983064:JOS983095 JYN983064:JYO983095 KIJ983064:KIK983095 KSF983064:KSG983095 LCB983064:LCC983095 LLX983064:LLY983095 LVT983064:LVU983095 MFP983064:MFQ983095 MPL983064:MPM983095 MZH983064:MZI983095 NJD983064:NJE983095 NSZ983064:NTA983095 OCV983064:OCW983095 OMR983064:OMS983095 OWN983064:OWO983095 PGJ983064:PGK983095 PQF983064:PQG983095 QAB983064:QAC983095 QJX983064:QJY983095 QTT983064:QTU983095 RDP983064:RDQ983095 RNL983064:RNM983095 RXH983064:RXI983095 SHD983064:SHE983095 SQZ983064:SRA983095 TAV983064:TAW983095 TKR983064:TKS983095 TUN983064:TUO983095 UEJ983064:UEK983095 UOF983064:UOG983095 UYB983064:UYC983095 VHX983064:VHY983095 VRT983064:VRU983095 WBP983064:WBQ983095 WLL983064:WLM983095 WVH983064:WVI983095 B28:B32 IX34:IX54 ST34:ST54 ACP34:ACP54 AML34:AML54 AWH34:AWH54 BGD34:BGD54 BPZ34:BPZ54 BZV34:BZV54 CJR34:CJR54 CTN34:CTN54 DDJ34:DDJ54 DNF34:DNF54 DXB34:DXB54 EGX34:EGX54 EQT34:EQT54 FAP34:FAP54 FKL34:FKL54 FUH34:FUH54 GED34:GED54 GNZ34:GNZ54 GXV34:GXV54 HHR34:HHR54 HRN34:HRN54 IBJ34:IBJ54 ILF34:ILF54 IVB34:IVB54 JEX34:JEX54 JOT34:JOT54 JYP34:JYP54 KIL34:KIL54 KSH34:KSH54 LCD34:LCD54 LLZ34:LLZ54 LVV34:LVV54 MFR34:MFR54 MPN34:MPN54 MZJ34:MZJ54 NJF34:NJF54 NTB34:NTB54 OCX34:OCX54 OMT34:OMT54 OWP34:OWP54 PGL34:PGL54 PQH34:PQH54 QAD34:QAD54 QJZ34:QJZ54 QTV34:QTV54 RDR34:RDR54 RNN34:RNN54 RXJ34:RXJ54 SHF34:SHF54 SRB34:SRB54 TAX34:TAX54 TKT34:TKT54 TUP34:TUP54 UEL34:UEL54 UOH34:UOH54 UYD34:UYD54 VHZ34:VHZ54 VRV34:VRV54 WBR34:WBR54 WLN34:WLN54 WVJ34:WVJ54 B65573:B65590 IX65573:IX65590 ST65573:ST65590 ACP65573:ACP65590 AML65573:AML65590 AWH65573:AWH65590 BGD65573:BGD65590 BPZ65573:BPZ65590 BZV65573:BZV65590 CJR65573:CJR65590 CTN65573:CTN65590 DDJ65573:DDJ65590 DNF65573:DNF65590 DXB65573:DXB65590 EGX65573:EGX65590 EQT65573:EQT65590 FAP65573:FAP65590 FKL65573:FKL65590 FUH65573:FUH65590 GED65573:GED65590 GNZ65573:GNZ65590 GXV65573:GXV65590 HHR65573:HHR65590 HRN65573:HRN65590 IBJ65573:IBJ65590 ILF65573:ILF65590 IVB65573:IVB65590 JEX65573:JEX65590 JOT65573:JOT65590 JYP65573:JYP65590 KIL65573:KIL65590 KSH65573:KSH65590 LCD65573:LCD65590 LLZ65573:LLZ65590 LVV65573:LVV65590 MFR65573:MFR65590 MPN65573:MPN65590 MZJ65573:MZJ65590 NJF65573:NJF65590 NTB65573:NTB65590 OCX65573:OCX65590 OMT65573:OMT65590 OWP65573:OWP65590 PGL65573:PGL65590 PQH65573:PQH65590 QAD65573:QAD65590 QJZ65573:QJZ65590 QTV65573:QTV65590 RDR65573:RDR65590 RNN65573:RNN65590 RXJ65573:RXJ65590 SHF65573:SHF65590 SRB65573:SRB65590 TAX65573:TAX65590 TKT65573:TKT65590 TUP65573:TUP65590 UEL65573:UEL65590 UOH65573:UOH65590 UYD65573:UYD65590 VHZ65573:VHZ65590 VRV65573:VRV65590 WBR65573:WBR65590 WLN65573:WLN65590 WVJ65573:WVJ65590 B131109:B131126 IX131109:IX131126 ST131109:ST131126 ACP131109:ACP131126 AML131109:AML131126 AWH131109:AWH131126 BGD131109:BGD131126 BPZ131109:BPZ131126 BZV131109:BZV131126 CJR131109:CJR131126 CTN131109:CTN131126 DDJ131109:DDJ131126 DNF131109:DNF131126 DXB131109:DXB131126 EGX131109:EGX131126 EQT131109:EQT131126 FAP131109:FAP131126 FKL131109:FKL131126 FUH131109:FUH131126 GED131109:GED131126 GNZ131109:GNZ131126 GXV131109:GXV131126 HHR131109:HHR131126 HRN131109:HRN131126 IBJ131109:IBJ131126 ILF131109:ILF131126 IVB131109:IVB131126 JEX131109:JEX131126 JOT131109:JOT131126 JYP131109:JYP131126 KIL131109:KIL131126 KSH131109:KSH131126 LCD131109:LCD131126 LLZ131109:LLZ131126 LVV131109:LVV131126 MFR131109:MFR131126 MPN131109:MPN131126 MZJ131109:MZJ131126 NJF131109:NJF131126 NTB131109:NTB131126 OCX131109:OCX131126 OMT131109:OMT131126 OWP131109:OWP131126 PGL131109:PGL131126 PQH131109:PQH131126 QAD131109:QAD131126 QJZ131109:QJZ131126 QTV131109:QTV131126 RDR131109:RDR131126 RNN131109:RNN131126 RXJ131109:RXJ131126 SHF131109:SHF131126 SRB131109:SRB131126 TAX131109:TAX131126 TKT131109:TKT131126 TUP131109:TUP131126 UEL131109:UEL131126 UOH131109:UOH131126 UYD131109:UYD131126 VHZ131109:VHZ131126 VRV131109:VRV131126 WBR131109:WBR131126 WLN131109:WLN131126 WVJ131109:WVJ131126 B196645:B196662 IX196645:IX196662 ST196645:ST196662 ACP196645:ACP196662 AML196645:AML196662 AWH196645:AWH196662 BGD196645:BGD196662 BPZ196645:BPZ196662 BZV196645:BZV196662 CJR196645:CJR196662 CTN196645:CTN196662 DDJ196645:DDJ196662 DNF196645:DNF196662 DXB196645:DXB196662 EGX196645:EGX196662 EQT196645:EQT196662 FAP196645:FAP196662 FKL196645:FKL196662 FUH196645:FUH196662 GED196645:GED196662 GNZ196645:GNZ196662 GXV196645:GXV196662 HHR196645:HHR196662 HRN196645:HRN196662 IBJ196645:IBJ196662 ILF196645:ILF196662 IVB196645:IVB196662 JEX196645:JEX196662 JOT196645:JOT196662 JYP196645:JYP196662 KIL196645:KIL196662 KSH196645:KSH196662 LCD196645:LCD196662 LLZ196645:LLZ196662 LVV196645:LVV196662 MFR196645:MFR196662 MPN196645:MPN196662 MZJ196645:MZJ196662 NJF196645:NJF196662 NTB196645:NTB196662 OCX196645:OCX196662 OMT196645:OMT196662 OWP196645:OWP196662 PGL196645:PGL196662 PQH196645:PQH196662 QAD196645:QAD196662 QJZ196645:QJZ196662 QTV196645:QTV196662 RDR196645:RDR196662 RNN196645:RNN196662 RXJ196645:RXJ196662 SHF196645:SHF196662 SRB196645:SRB196662 TAX196645:TAX196662 TKT196645:TKT196662 TUP196645:TUP196662 UEL196645:UEL196662 UOH196645:UOH196662 UYD196645:UYD196662 VHZ196645:VHZ196662 VRV196645:VRV196662 WBR196645:WBR196662 WLN196645:WLN196662 WVJ196645:WVJ196662 B262181:B262198 IX262181:IX262198 ST262181:ST262198 ACP262181:ACP262198 AML262181:AML262198 AWH262181:AWH262198 BGD262181:BGD262198 BPZ262181:BPZ262198 BZV262181:BZV262198 CJR262181:CJR262198 CTN262181:CTN262198 DDJ262181:DDJ262198 DNF262181:DNF262198 DXB262181:DXB262198 EGX262181:EGX262198 EQT262181:EQT262198 FAP262181:FAP262198 FKL262181:FKL262198 FUH262181:FUH262198 GED262181:GED262198 GNZ262181:GNZ262198 GXV262181:GXV262198 HHR262181:HHR262198 HRN262181:HRN262198 IBJ262181:IBJ262198 ILF262181:ILF262198 IVB262181:IVB262198 JEX262181:JEX262198 JOT262181:JOT262198 JYP262181:JYP262198 KIL262181:KIL262198 KSH262181:KSH262198 LCD262181:LCD262198 LLZ262181:LLZ262198 LVV262181:LVV262198 MFR262181:MFR262198 MPN262181:MPN262198 MZJ262181:MZJ262198 NJF262181:NJF262198 NTB262181:NTB262198 OCX262181:OCX262198 OMT262181:OMT262198 OWP262181:OWP262198 PGL262181:PGL262198 PQH262181:PQH262198 QAD262181:QAD262198 QJZ262181:QJZ262198 QTV262181:QTV262198 RDR262181:RDR262198 RNN262181:RNN262198 RXJ262181:RXJ262198 SHF262181:SHF262198 SRB262181:SRB262198 TAX262181:TAX262198 TKT262181:TKT262198 TUP262181:TUP262198 UEL262181:UEL262198 UOH262181:UOH262198 UYD262181:UYD262198 VHZ262181:VHZ262198 VRV262181:VRV262198 WBR262181:WBR262198 WLN262181:WLN262198 WVJ262181:WVJ262198 B327717:B327734 IX327717:IX327734 ST327717:ST327734 ACP327717:ACP327734 AML327717:AML327734 AWH327717:AWH327734 BGD327717:BGD327734 BPZ327717:BPZ327734 BZV327717:BZV327734 CJR327717:CJR327734 CTN327717:CTN327734 DDJ327717:DDJ327734 DNF327717:DNF327734 DXB327717:DXB327734 EGX327717:EGX327734 EQT327717:EQT327734 FAP327717:FAP327734 FKL327717:FKL327734 FUH327717:FUH327734 GED327717:GED327734 GNZ327717:GNZ327734 GXV327717:GXV327734 HHR327717:HHR327734 HRN327717:HRN327734 IBJ327717:IBJ327734 ILF327717:ILF327734 IVB327717:IVB327734 JEX327717:JEX327734 JOT327717:JOT327734 JYP327717:JYP327734 KIL327717:KIL327734 KSH327717:KSH327734 LCD327717:LCD327734 LLZ327717:LLZ327734 LVV327717:LVV327734 MFR327717:MFR327734 MPN327717:MPN327734 MZJ327717:MZJ327734 NJF327717:NJF327734 NTB327717:NTB327734 OCX327717:OCX327734 OMT327717:OMT327734 OWP327717:OWP327734 PGL327717:PGL327734 PQH327717:PQH327734 QAD327717:QAD327734 QJZ327717:QJZ327734 QTV327717:QTV327734 RDR327717:RDR327734 RNN327717:RNN327734 RXJ327717:RXJ327734 SHF327717:SHF327734 SRB327717:SRB327734 TAX327717:TAX327734 TKT327717:TKT327734 TUP327717:TUP327734 UEL327717:UEL327734 UOH327717:UOH327734 UYD327717:UYD327734 VHZ327717:VHZ327734 VRV327717:VRV327734 WBR327717:WBR327734 WLN327717:WLN327734 WVJ327717:WVJ327734 B393253:B393270 IX393253:IX393270 ST393253:ST393270 ACP393253:ACP393270 AML393253:AML393270 AWH393253:AWH393270 BGD393253:BGD393270 BPZ393253:BPZ393270 BZV393253:BZV393270 CJR393253:CJR393270 CTN393253:CTN393270 DDJ393253:DDJ393270 DNF393253:DNF393270 DXB393253:DXB393270 EGX393253:EGX393270 EQT393253:EQT393270 FAP393253:FAP393270 FKL393253:FKL393270 FUH393253:FUH393270 GED393253:GED393270 GNZ393253:GNZ393270 GXV393253:GXV393270 HHR393253:HHR393270 HRN393253:HRN393270 IBJ393253:IBJ393270 ILF393253:ILF393270 IVB393253:IVB393270 JEX393253:JEX393270 JOT393253:JOT393270 JYP393253:JYP393270 KIL393253:KIL393270 KSH393253:KSH393270 LCD393253:LCD393270 LLZ393253:LLZ393270 LVV393253:LVV393270 MFR393253:MFR393270 MPN393253:MPN393270 MZJ393253:MZJ393270 NJF393253:NJF393270 NTB393253:NTB393270 OCX393253:OCX393270 OMT393253:OMT393270 OWP393253:OWP393270 PGL393253:PGL393270 PQH393253:PQH393270 QAD393253:QAD393270 QJZ393253:QJZ393270 QTV393253:QTV393270 RDR393253:RDR393270 RNN393253:RNN393270 RXJ393253:RXJ393270 SHF393253:SHF393270 SRB393253:SRB393270 TAX393253:TAX393270 TKT393253:TKT393270 TUP393253:TUP393270 UEL393253:UEL393270 UOH393253:UOH393270 UYD393253:UYD393270 VHZ393253:VHZ393270 VRV393253:VRV393270 WBR393253:WBR393270 WLN393253:WLN393270 WVJ393253:WVJ393270 B458789:B458806 IX458789:IX458806 ST458789:ST458806 ACP458789:ACP458806 AML458789:AML458806 AWH458789:AWH458806 BGD458789:BGD458806 BPZ458789:BPZ458806 BZV458789:BZV458806 CJR458789:CJR458806 CTN458789:CTN458806 DDJ458789:DDJ458806 DNF458789:DNF458806 DXB458789:DXB458806 EGX458789:EGX458806 EQT458789:EQT458806 FAP458789:FAP458806 FKL458789:FKL458806 FUH458789:FUH458806 GED458789:GED458806 GNZ458789:GNZ458806 GXV458789:GXV458806 HHR458789:HHR458806 HRN458789:HRN458806 IBJ458789:IBJ458806 ILF458789:ILF458806 IVB458789:IVB458806 JEX458789:JEX458806 JOT458789:JOT458806 JYP458789:JYP458806 KIL458789:KIL458806 KSH458789:KSH458806 LCD458789:LCD458806 LLZ458789:LLZ458806 LVV458789:LVV458806 MFR458789:MFR458806 MPN458789:MPN458806 MZJ458789:MZJ458806 NJF458789:NJF458806 NTB458789:NTB458806 OCX458789:OCX458806 OMT458789:OMT458806 OWP458789:OWP458806 PGL458789:PGL458806 PQH458789:PQH458806 QAD458789:QAD458806 QJZ458789:QJZ458806 QTV458789:QTV458806 RDR458789:RDR458806 RNN458789:RNN458806 RXJ458789:RXJ458806 SHF458789:SHF458806 SRB458789:SRB458806 TAX458789:TAX458806 TKT458789:TKT458806 TUP458789:TUP458806 UEL458789:UEL458806 UOH458789:UOH458806 UYD458789:UYD458806 VHZ458789:VHZ458806 VRV458789:VRV458806 WBR458789:WBR458806 WLN458789:WLN458806 WVJ458789:WVJ458806 B524325:B524342 IX524325:IX524342 ST524325:ST524342 ACP524325:ACP524342 AML524325:AML524342 AWH524325:AWH524342 BGD524325:BGD524342 BPZ524325:BPZ524342 BZV524325:BZV524342 CJR524325:CJR524342 CTN524325:CTN524342 DDJ524325:DDJ524342 DNF524325:DNF524342 DXB524325:DXB524342 EGX524325:EGX524342 EQT524325:EQT524342 FAP524325:FAP524342 FKL524325:FKL524342 FUH524325:FUH524342 GED524325:GED524342 GNZ524325:GNZ524342 GXV524325:GXV524342 HHR524325:HHR524342 HRN524325:HRN524342 IBJ524325:IBJ524342 ILF524325:ILF524342 IVB524325:IVB524342 JEX524325:JEX524342 JOT524325:JOT524342 JYP524325:JYP524342 KIL524325:KIL524342 KSH524325:KSH524342 LCD524325:LCD524342 LLZ524325:LLZ524342 LVV524325:LVV524342 MFR524325:MFR524342 MPN524325:MPN524342 MZJ524325:MZJ524342 NJF524325:NJF524342 NTB524325:NTB524342 OCX524325:OCX524342 OMT524325:OMT524342 OWP524325:OWP524342 PGL524325:PGL524342 PQH524325:PQH524342 QAD524325:QAD524342 QJZ524325:QJZ524342 QTV524325:QTV524342 RDR524325:RDR524342 RNN524325:RNN524342 RXJ524325:RXJ524342 SHF524325:SHF524342 SRB524325:SRB524342 TAX524325:TAX524342 TKT524325:TKT524342 TUP524325:TUP524342 UEL524325:UEL524342 UOH524325:UOH524342 UYD524325:UYD524342 VHZ524325:VHZ524342 VRV524325:VRV524342 WBR524325:WBR524342 WLN524325:WLN524342 WVJ524325:WVJ524342 B589861:B589878 IX589861:IX589878 ST589861:ST589878 ACP589861:ACP589878 AML589861:AML589878 AWH589861:AWH589878 BGD589861:BGD589878 BPZ589861:BPZ589878 BZV589861:BZV589878 CJR589861:CJR589878 CTN589861:CTN589878 DDJ589861:DDJ589878 DNF589861:DNF589878 DXB589861:DXB589878 EGX589861:EGX589878 EQT589861:EQT589878 FAP589861:FAP589878 FKL589861:FKL589878 FUH589861:FUH589878 GED589861:GED589878 GNZ589861:GNZ589878 GXV589861:GXV589878 HHR589861:HHR589878 HRN589861:HRN589878 IBJ589861:IBJ589878 ILF589861:ILF589878 IVB589861:IVB589878 JEX589861:JEX589878 JOT589861:JOT589878 JYP589861:JYP589878 KIL589861:KIL589878 KSH589861:KSH589878 LCD589861:LCD589878 LLZ589861:LLZ589878 LVV589861:LVV589878 MFR589861:MFR589878 MPN589861:MPN589878 MZJ589861:MZJ589878 NJF589861:NJF589878 NTB589861:NTB589878 OCX589861:OCX589878 OMT589861:OMT589878 OWP589861:OWP589878 PGL589861:PGL589878 PQH589861:PQH589878 QAD589861:QAD589878 QJZ589861:QJZ589878 QTV589861:QTV589878 RDR589861:RDR589878 RNN589861:RNN589878 RXJ589861:RXJ589878 SHF589861:SHF589878 SRB589861:SRB589878 TAX589861:TAX589878 TKT589861:TKT589878 TUP589861:TUP589878 UEL589861:UEL589878 UOH589861:UOH589878 UYD589861:UYD589878 VHZ589861:VHZ589878 VRV589861:VRV589878 WBR589861:WBR589878 WLN589861:WLN589878 WVJ589861:WVJ589878 B655397:B655414 IX655397:IX655414 ST655397:ST655414 ACP655397:ACP655414 AML655397:AML655414 AWH655397:AWH655414 BGD655397:BGD655414 BPZ655397:BPZ655414 BZV655397:BZV655414 CJR655397:CJR655414 CTN655397:CTN655414 DDJ655397:DDJ655414 DNF655397:DNF655414 DXB655397:DXB655414 EGX655397:EGX655414 EQT655397:EQT655414 FAP655397:FAP655414 FKL655397:FKL655414 FUH655397:FUH655414 GED655397:GED655414 GNZ655397:GNZ655414 GXV655397:GXV655414 HHR655397:HHR655414 HRN655397:HRN655414 IBJ655397:IBJ655414 ILF655397:ILF655414 IVB655397:IVB655414 JEX655397:JEX655414 JOT655397:JOT655414 JYP655397:JYP655414 KIL655397:KIL655414 KSH655397:KSH655414 LCD655397:LCD655414 LLZ655397:LLZ655414 LVV655397:LVV655414 MFR655397:MFR655414 MPN655397:MPN655414 MZJ655397:MZJ655414 NJF655397:NJF655414 NTB655397:NTB655414 OCX655397:OCX655414 OMT655397:OMT655414 OWP655397:OWP655414 PGL655397:PGL655414 PQH655397:PQH655414 QAD655397:QAD655414 QJZ655397:QJZ655414 QTV655397:QTV655414 RDR655397:RDR655414 RNN655397:RNN655414 RXJ655397:RXJ655414 SHF655397:SHF655414 SRB655397:SRB655414 TAX655397:TAX655414 TKT655397:TKT655414 TUP655397:TUP655414 UEL655397:UEL655414 UOH655397:UOH655414 UYD655397:UYD655414 VHZ655397:VHZ655414 VRV655397:VRV655414 WBR655397:WBR655414 WLN655397:WLN655414 WVJ655397:WVJ655414 B720933:B720950 IX720933:IX720950 ST720933:ST720950 ACP720933:ACP720950 AML720933:AML720950 AWH720933:AWH720950 BGD720933:BGD720950 BPZ720933:BPZ720950 BZV720933:BZV720950 CJR720933:CJR720950 CTN720933:CTN720950 DDJ720933:DDJ720950 DNF720933:DNF720950 DXB720933:DXB720950 EGX720933:EGX720950 EQT720933:EQT720950 FAP720933:FAP720950 FKL720933:FKL720950 FUH720933:FUH720950 GED720933:GED720950 GNZ720933:GNZ720950 GXV720933:GXV720950 HHR720933:HHR720950 HRN720933:HRN720950 IBJ720933:IBJ720950 ILF720933:ILF720950 IVB720933:IVB720950 JEX720933:JEX720950 JOT720933:JOT720950 JYP720933:JYP720950 KIL720933:KIL720950 KSH720933:KSH720950 LCD720933:LCD720950 LLZ720933:LLZ720950 LVV720933:LVV720950 MFR720933:MFR720950 MPN720933:MPN720950 MZJ720933:MZJ720950 NJF720933:NJF720950 NTB720933:NTB720950 OCX720933:OCX720950 OMT720933:OMT720950 OWP720933:OWP720950 PGL720933:PGL720950 PQH720933:PQH720950 QAD720933:QAD720950 QJZ720933:QJZ720950 QTV720933:QTV720950 RDR720933:RDR720950 RNN720933:RNN720950 RXJ720933:RXJ720950 SHF720933:SHF720950 SRB720933:SRB720950 TAX720933:TAX720950 TKT720933:TKT720950 TUP720933:TUP720950 UEL720933:UEL720950 UOH720933:UOH720950 UYD720933:UYD720950 VHZ720933:VHZ720950 VRV720933:VRV720950 WBR720933:WBR720950 WLN720933:WLN720950 WVJ720933:WVJ720950 B786469:B786486 IX786469:IX786486 ST786469:ST786486 ACP786469:ACP786486 AML786469:AML786486 AWH786469:AWH786486 BGD786469:BGD786486 BPZ786469:BPZ786486 BZV786469:BZV786486 CJR786469:CJR786486 CTN786469:CTN786486 DDJ786469:DDJ786486 DNF786469:DNF786486 DXB786469:DXB786486 EGX786469:EGX786486 EQT786469:EQT786486 FAP786469:FAP786486 FKL786469:FKL786486 FUH786469:FUH786486 GED786469:GED786486 GNZ786469:GNZ786486 GXV786469:GXV786486 HHR786469:HHR786486 HRN786469:HRN786486 IBJ786469:IBJ786486 ILF786469:ILF786486 IVB786469:IVB786486 JEX786469:JEX786486 JOT786469:JOT786486 JYP786469:JYP786486 KIL786469:KIL786486 KSH786469:KSH786486 LCD786469:LCD786486 LLZ786469:LLZ786486 LVV786469:LVV786486 MFR786469:MFR786486 MPN786469:MPN786486 MZJ786469:MZJ786486 NJF786469:NJF786486 NTB786469:NTB786486 OCX786469:OCX786486 OMT786469:OMT786486 OWP786469:OWP786486 PGL786469:PGL786486 PQH786469:PQH786486 QAD786469:QAD786486 QJZ786469:QJZ786486 QTV786469:QTV786486 RDR786469:RDR786486 RNN786469:RNN786486 RXJ786469:RXJ786486 SHF786469:SHF786486 SRB786469:SRB786486 TAX786469:TAX786486 TKT786469:TKT786486 TUP786469:TUP786486 UEL786469:UEL786486 UOH786469:UOH786486 UYD786469:UYD786486 VHZ786469:VHZ786486 VRV786469:VRV786486 WBR786469:WBR786486 WLN786469:WLN786486 WVJ786469:WVJ786486 B852005:B852022 IX852005:IX852022 ST852005:ST852022 ACP852005:ACP852022 AML852005:AML852022 AWH852005:AWH852022 BGD852005:BGD852022 BPZ852005:BPZ852022 BZV852005:BZV852022 CJR852005:CJR852022 CTN852005:CTN852022 DDJ852005:DDJ852022 DNF852005:DNF852022 DXB852005:DXB852022 EGX852005:EGX852022 EQT852005:EQT852022 FAP852005:FAP852022 FKL852005:FKL852022 FUH852005:FUH852022 GED852005:GED852022 GNZ852005:GNZ852022 GXV852005:GXV852022 HHR852005:HHR852022 HRN852005:HRN852022 IBJ852005:IBJ852022 ILF852005:ILF852022 IVB852005:IVB852022 JEX852005:JEX852022 JOT852005:JOT852022 JYP852005:JYP852022 KIL852005:KIL852022 KSH852005:KSH852022 LCD852005:LCD852022 LLZ852005:LLZ852022 LVV852005:LVV852022 MFR852005:MFR852022 MPN852005:MPN852022 MZJ852005:MZJ852022 NJF852005:NJF852022 NTB852005:NTB852022 OCX852005:OCX852022 OMT852005:OMT852022 OWP852005:OWP852022 PGL852005:PGL852022 PQH852005:PQH852022 QAD852005:QAD852022 QJZ852005:QJZ852022 QTV852005:QTV852022 RDR852005:RDR852022 RNN852005:RNN852022 RXJ852005:RXJ852022 SHF852005:SHF852022 SRB852005:SRB852022 TAX852005:TAX852022 TKT852005:TKT852022 TUP852005:TUP852022 UEL852005:UEL852022 UOH852005:UOH852022 UYD852005:UYD852022 VHZ852005:VHZ852022 VRV852005:VRV852022 WBR852005:WBR852022 WLN852005:WLN852022 WVJ852005:WVJ852022 B917541:B917558 IX917541:IX917558 ST917541:ST917558 ACP917541:ACP917558 AML917541:AML917558 AWH917541:AWH917558 BGD917541:BGD917558 BPZ917541:BPZ917558 BZV917541:BZV917558 CJR917541:CJR917558 CTN917541:CTN917558 DDJ917541:DDJ917558 DNF917541:DNF917558 DXB917541:DXB917558 EGX917541:EGX917558 EQT917541:EQT917558 FAP917541:FAP917558 FKL917541:FKL917558 FUH917541:FUH917558 GED917541:GED917558 GNZ917541:GNZ917558 GXV917541:GXV917558 HHR917541:HHR917558 HRN917541:HRN917558 IBJ917541:IBJ917558 ILF917541:ILF917558 IVB917541:IVB917558 JEX917541:JEX917558 JOT917541:JOT917558 JYP917541:JYP917558 KIL917541:KIL917558 KSH917541:KSH917558 LCD917541:LCD917558 LLZ917541:LLZ917558 LVV917541:LVV917558 MFR917541:MFR917558 MPN917541:MPN917558 MZJ917541:MZJ917558 NJF917541:NJF917558 NTB917541:NTB917558 OCX917541:OCX917558 OMT917541:OMT917558 OWP917541:OWP917558 PGL917541:PGL917558 PQH917541:PQH917558 QAD917541:QAD917558 QJZ917541:QJZ917558 QTV917541:QTV917558 RDR917541:RDR917558 RNN917541:RNN917558 RXJ917541:RXJ917558 SHF917541:SHF917558 SRB917541:SRB917558 TAX917541:TAX917558 TKT917541:TKT917558 TUP917541:TUP917558 UEL917541:UEL917558 UOH917541:UOH917558 UYD917541:UYD917558 VHZ917541:VHZ917558 VRV917541:VRV917558 WBR917541:WBR917558 WLN917541:WLN917558 WVJ917541:WVJ917558 B983077:B983094 IX983077:IX983094 ST983077:ST983094 ACP983077:ACP983094 AML983077:AML983094 AWH983077:AWH983094 BGD983077:BGD983094 BPZ983077:BPZ983094 BZV983077:BZV983094 CJR983077:CJR983094 CTN983077:CTN983094 DDJ983077:DDJ983094 DNF983077:DNF983094 DXB983077:DXB983094 EGX983077:EGX983094 EQT983077:EQT983094 FAP983077:FAP983094 FKL983077:FKL983094 FUH983077:FUH983094 GED983077:GED983094 GNZ983077:GNZ983094 GXV983077:GXV983094 HHR983077:HHR983094 HRN983077:HRN983094 IBJ983077:IBJ983094 ILF983077:ILF983094 IVB983077:IVB983094 JEX983077:JEX983094 JOT983077:JOT983094 JYP983077:JYP983094 KIL983077:KIL983094 KSH983077:KSH983094 LCD983077:LCD983094 LLZ983077:LLZ983094 LVV983077:LVV983094 MFR983077:MFR983094 MPN983077:MPN983094 MZJ983077:MZJ983094 NJF983077:NJF983094 NTB983077:NTB983094 OCX983077:OCX983094 OMT983077:OMT983094 OWP983077:OWP983094 PGL983077:PGL983094 PQH983077:PQH983094 QAD983077:QAD983094 QJZ983077:QJZ983094 QTV983077:QTV983094 RDR983077:RDR983094 RNN983077:RNN983094 RXJ983077:RXJ983094 SHF983077:SHF983094 SRB983077:SRB983094 TAX983077:TAX983094 TKT983077:TKT983094 TUP983077:TUP983094 UEL983077:UEL983094 UOH983077:UOH983094 UYD983077:UYD983094 VHZ983077:VHZ983094 VRV983077:VRV983094 WBR983077:WBR983094 WLN983077:WLN983094 WVJ983077:WVJ983094 A983063:C983063 A917527:C917527 A851991:C851991 A786455:C786455 A720919:C720919 A655383:C655383 A589847:C589847 A524311:C524311 A458775:C458775 A393239:C393239 A327703:C327703 A262167:C262167 A196631:C196631 A131095:C131095 A65559:C65559 A24:C24 A983096:XFD1048576 A1:XFD10 A56:XFD65544 A65592:XFD131080 A131128:XFD196616 A196664:XFD262152 A262200:XFD327688 A327736:XFD393224 A393272:XFD458760 A458808:XFD524296 A524344:XFD589832 A589880:XFD655368 A655416:XFD720904 A720952:XFD786440 A786488:XFD851976 A852024:XFD917512 A917560:XFD983048 F983049:IU983063 F917513:IU917527 F851977:IU851991 F786441:IU786455 F720905:IU720919 F655369:IU655383 F589833:IU589847 F524297:IU524311 F458761:IU458775 F393225:IU393239 F327689:IU327703 F262153:IU262167 F196617:IU196631 F131081:IU131095 F65545:IU65559 F11:IU24 WVH11:WVI23 WLL11:WLM23 WBP11:WBQ23 VRT11:VRU23 VHX11:VHY23 UYB11:UYC23 UOF11:UOG23 UEJ11:UEK23 TUN11:TUO23 TKR11:TKS23 TAV11:TAW23 SQZ11:SRA23 SHD11:SHE23 RXH11:RXI23 RNL11:RNM23 RDP11:RDQ23 QTT11:QTU23 QJX11:QJY23 QAB11:QAC23 PQF11:PQG23 PGJ11:PGK23 OWN11:OWO23 OMR11:OMS23 OCV11:OCW23 NSZ11:NTA23 NJD11:NJE23 MZH11:MZI23 MPL11:MPM23 MFP11:MFQ23 LVT11:LVU23 LLX11:LLY23 LCB11:LCC23 KSF11:KSG23 KIJ11:KIK23 JYN11:JYO23 JOR11:JOS23 JEV11:JEW23 IUZ11:IVA23 ILD11:ILE23 IBH11:IBI23 HRL11:HRM23 HHP11:HHQ23 GXT11:GXU23 GNX11:GNY23 GEB11:GEC23 FUF11:FUG23 FKJ11:FKK23 FAN11:FAO23 EQR11:EQS23 EGV11:EGW23 DWZ11:DXA23 DND11:DNE23 DDH11:DDI23 CTL11:CTM23 CJP11:CJQ23 BZT11:BZU23 BPX11:BPY23 BGB11:BGC23 AWF11:AWG23 AMJ11:AMK23 ACN11:ACO23 SR11:SS23 IV11:IW23 A11:A23 WVN13:XFD24 WLR13:WVG24 WBV13:WLK24 VRZ13:WBO24 VID13:VRS24 UYH13:VHW24 UOL13:UYA24 UEP13:UOE24 TUT13:UEI24 TKX13:TUM24 TBB13:TKQ24 SRF13:TAU24 SHJ13:SQY24 RXN13:SHC24 RNR13:RXG24 RDV13:RNK24 QTZ13:RDO24 QKD13:QTS24 QAH13:QJW24 PQL13:QAA24 PGP13:PQE24 OWT13:PGI24 OMX13:OWM24 ODB13:OMQ24 NTF13:OCU24 NJJ13:NSY24 MZN13:NJC24 MPR13:MZG24 MFV13:MPK24 LVZ13:MFO24 LMD13:LVS24 LCH13:LLW24 KSL13:LCA24 KIP13:KSE24 JYT13:KII24 JOX13:JYM24 JFB13:JOQ24 IVF13:JEU24 ILJ13:IUY24 IBN13:ILC24 HRR13:IBG24 HHV13:HRK24 GXZ13:HHO24 GOD13:GXS24 GEH13:GNW24 FUL13:GEA24 FKP13:FUE24 FAT13:FKI24 EQX13:FAM24 EHB13:EQQ24 DXF13:EGU24 DNJ13:DWY24 DDN13:DNC24 CTR13:DDG24 CJV13:CTK24 BZZ13:CJO24 BQD13:BZS24 BGH13:BPW24 AWL13:BGA24 AMP13:AWE24 ACT13:AMI24 SX13:ACM24 JB13:SQ24 G28:L30 JC28:JH30 SY28:TD30 ACU28:ACZ30 AMQ28:AMV30 AWM28:AWR30 BGI28:BGN30 BQE28:BQJ30 CAA28:CAF30 CJW28:CKB30 CTS28:CTX30 DDO28:DDT30 DNK28:DNP30 DXG28:DXL30 EHC28:EHH30 EQY28:ERD30 FAU28:FAZ30 FKQ28:FKV30 FUM28:FUR30 GEI28:GEN30 GOE28:GOJ30 GYA28:GYF30 HHW28:HIB30 HRS28:HRX30 IBO28:IBT30 ILK28:ILP30 IVG28:IVL30 JFC28:JFH30 JOY28:JPD30 JYU28:JYZ30 KIQ28:KIV30 KSM28:KSR30 LCI28:LCN30 LME28:LMJ30 LWA28:LWF30 MFW28:MGB30 MPS28:MPX30 MZO28:MZT30 NJK28:NJP30 NTG28:NTL30 ODC28:ODH30 OMY28:OND30 OWU28:OWZ30 PGQ28:PGV30 PQM28:PQR30 QAI28:QAN30 QKE28:QKJ30 QUA28:QUF30 RDW28:REB30 RNS28:RNX30 RXO28:RXT30 SHK28:SHP30 SRG28:SRL30 TBC28:TBH30 TKY28:TLD30 TUU28:TUZ30 UEQ28:UEV30 UOM28:UOR30 UYI28:UYN30 VIE28:VIJ30 VSA28:VSF30 WBW28:WCB30 WLS28:WLX30 WVO28:WVT30 WVH25:WVI55 WLL25:WLM55 WBP25:WBQ55 VRT25:VRU55 VHX25:VHY55 UYB25:UYC55 UOF25:UOG55 UEJ25:UEK55 TUN25:TUO55 TKR25:TKS55 TAV25:TAW55 SQZ25:SRA55 SHD25:SHE55 RXH25:RXI55 RNL25:RNM55 RDP25:RDQ55 QTT25:QTU55 QJX25:QJY55 QAB25:QAC55 PQF25:PQG55 PGJ25:PGK55 OWN25:OWO55 OMR25:OMS55 OCV25:OCW55 NSZ25:NTA55 NJD25:NJE55 MZH25:MZI55 MPL25:MPM55 MFP25:MFQ55 LVT25:LVU55 LLX25:LLY55 LCB25:LCC55 KSF25:KSG55 KIJ25:KIK55 JYN25:JYO55 JOR25:JOS55 JEV25:JEW55 IUZ25:IVA55 ILD25:ILE55 IBH25:IBI55 HRL25:HRM55 HHP25:HHQ55 GXT25:GXU55 GNX25:GNY55 GEB25:GEC55 FUF25:FUG55 FKJ25:FKK55 FAN25:FAO55 EQR25:EQS55 EGV25:EGW55 DWZ25:DXA55 DND25:DNE55 DDH25:DDI55 CTL25:CTM55 CJP25:CJQ55 BZT25:BZU55 BPX25:BPY55 BGB25:BGC55 AWF25:AWG55 AMJ25:AMK55 ACN25:ACO55 SR25:SS55 IV25:IW55 A25:A55 WVJ28:WVJ32 WLN28:WLN32 WBR28:WBR32 VRV28:VRV32 VHZ28:VHZ32 UYD28:UYD32 UOH28:UOH32 UEL28:UEL32 TUP28:TUP32 TKT28:TKT32 TAX28:TAX32 SRB28:SRB32 SHF28:SHF32 RXJ28:RXJ32 RNN28:RNN32 RDR28:RDR32 QTV28:QTV32 QJZ28:QJZ32 QAD28:QAD32 PQH28:PQH32 PGL28:PGL32 OWP28:OWP32 OMT28:OMT32 OCX28:OCX32 NTB28:NTB32 NJF28:NJF32 MZJ28:MZJ32 MPN28:MPN32 MFR28:MFR32 LVV28:LVV32 LLZ28:LLZ32 LCD28:LCD32 KSH28:KSH32 KIL28:KIL32 JYP28:JYP32 JOT28:JOT32 JEX28:JEX32 IVB28:IVB32 ILF28:ILF32 IBJ28:IBJ32 HRN28:HRN32 HHR28:HHR32 GXV28:GXV32 GNZ28:GNZ32 GED28:GED32 FUH28:FUH32 FKL28:FKL32 FAP28:FAP32 EQT28:EQT32 EGX28:EGX32 DXB28:DXB32 DNF28:DNF32 DDJ28:DDJ32 CTN28:CTN32 CJR28:CJR32 BZV28:BZV32 BPZ28:BPZ32 BGD28:BGD32 AWH28:AWH32 AML28:AML32 ACP28:ACP32 ST28:ST32 IX28:IX32 B34:B54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B1:M12"/>
  <sheetViews>
    <sheetView showGridLines="0" workbookViewId="0">
      <selection activeCell="E21" sqref="E21"/>
    </sheetView>
  </sheetViews>
  <sheetFormatPr baseColWidth="10" defaultRowHeight="15" outlineLevelRow="1" outlineLevelCol="1" x14ac:dyDescent="0.25"/>
  <cols>
    <col min="2" max="2" width="22.7109375" customWidth="1"/>
    <col min="3" max="3" width="24.42578125" customWidth="1"/>
    <col min="4" max="9" width="14.5703125" bestFit="1" customWidth="1" outlineLevel="1"/>
    <col min="10" max="10" width="14.5703125" customWidth="1" outlineLevel="1"/>
    <col min="11" max="13" width="14.5703125" bestFit="1" customWidth="1" outlineLevel="1"/>
  </cols>
  <sheetData>
    <row r="1" spans="2:13" ht="15.75" thickBot="1" x14ac:dyDescent="0.3"/>
    <row r="2" spans="2:13" ht="15.75" x14ac:dyDescent="0.25">
      <c r="B2" s="348" t="s">
        <v>427</v>
      </c>
      <c r="C2" s="348"/>
      <c r="D2" s="349"/>
      <c r="E2" s="349"/>
      <c r="F2" s="349"/>
      <c r="G2" s="349"/>
      <c r="H2" s="349"/>
      <c r="I2" s="349"/>
      <c r="J2" s="349"/>
      <c r="K2" s="349"/>
      <c r="L2" s="349"/>
      <c r="M2" s="349"/>
    </row>
    <row r="3" spans="2:13" ht="15.75" x14ac:dyDescent="0.25">
      <c r="B3" s="347"/>
      <c r="C3" s="347"/>
      <c r="D3" s="233" t="s">
        <v>422</v>
      </c>
      <c r="E3" s="233" t="s">
        <v>416</v>
      </c>
      <c r="F3" s="233" t="s">
        <v>417</v>
      </c>
      <c r="G3" s="233" t="s">
        <v>423</v>
      </c>
      <c r="H3" s="233" t="s">
        <v>418</v>
      </c>
      <c r="I3" s="233" t="s">
        <v>419</v>
      </c>
      <c r="J3" s="233" t="s">
        <v>420</v>
      </c>
      <c r="K3" s="233" t="s">
        <v>421</v>
      </c>
      <c r="L3" s="233" t="s">
        <v>424</v>
      </c>
      <c r="M3" s="233" t="s">
        <v>425</v>
      </c>
    </row>
    <row r="4" spans="2:13" s="453" customFormat="1" outlineLevel="1" x14ac:dyDescent="0.25">
      <c r="B4" s="636"/>
      <c r="C4" s="636"/>
      <c r="D4" s="637"/>
      <c r="E4" s="637"/>
      <c r="F4" s="637"/>
      <c r="G4" s="637"/>
      <c r="H4" s="637"/>
      <c r="I4" s="637"/>
      <c r="J4" s="637"/>
      <c r="K4" s="637"/>
      <c r="L4" s="637"/>
      <c r="M4" s="637"/>
    </row>
    <row r="5" spans="2:13" s="453" customFormat="1" ht="8.1" customHeight="1" x14ac:dyDescent="0.25">
      <c r="B5" s="638"/>
      <c r="C5" s="638"/>
      <c r="D5" s="639"/>
      <c r="E5" s="639"/>
      <c r="F5" s="639"/>
      <c r="G5" s="639"/>
      <c r="H5" s="639"/>
      <c r="I5" s="639"/>
      <c r="J5" s="639"/>
      <c r="K5" s="639"/>
      <c r="L5" s="639"/>
      <c r="M5" s="639"/>
    </row>
    <row r="6" spans="2:13" s="453" customFormat="1" outlineLevel="1" x14ac:dyDescent="0.25">
      <c r="B6" s="636" t="s">
        <v>426</v>
      </c>
      <c r="C6" s="636"/>
      <c r="D6" s="640">
        <v>10</v>
      </c>
      <c r="E6" s="640">
        <v>20</v>
      </c>
      <c r="F6" s="640">
        <v>30</v>
      </c>
      <c r="G6" s="640">
        <v>40</v>
      </c>
      <c r="H6" s="640">
        <v>50</v>
      </c>
      <c r="I6" s="640">
        <v>60</v>
      </c>
      <c r="J6" s="640">
        <v>70</v>
      </c>
      <c r="K6" s="640">
        <v>80</v>
      </c>
      <c r="L6" s="640">
        <v>90</v>
      </c>
      <c r="M6" s="640">
        <v>100</v>
      </c>
    </row>
    <row r="7" spans="2:13" s="453" customFormat="1" ht="8.1" customHeight="1" x14ac:dyDescent="0.25">
      <c r="B7" s="638"/>
      <c r="C7" s="638"/>
      <c r="D7" s="639"/>
      <c r="E7" s="639"/>
      <c r="F7" s="639"/>
      <c r="G7" s="639"/>
      <c r="H7" s="639"/>
      <c r="I7" s="639"/>
      <c r="J7" s="639"/>
      <c r="K7" s="639"/>
      <c r="L7" s="639"/>
      <c r="M7" s="639"/>
    </row>
    <row r="8" spans="2:13" s="453" customFormat="1" ht="15.75" outlineLevel="1" thickBot="1" x14ac:dyDescent="0.3">
      <c r="B8" s="641" t="s">
        <v>740</v>
      </c>
      <c r="C8" s="641"/>
      <c r="D8" s="642">
        <v>0</v>
      </c>
      <c r="E8" s="642">
        <v>0</v>
      </c>
      <c r="F8" s="642">
        <v>0</v>
      </c>
      <c r="G8" s="642">
        <v>0</v>
      </c>
      <c r="H8" s="642">
        <v>4129574.2073015198</v>
      </c>
      <c r="I8" s="643">
        <v>24777445.2438091</v>
      </c>
      <c r="J8" s="643">
        <v>45425316.280316688</v>
      </c>
      <c r="K8" s="643">
        <v>66073187.316824302</v>
      </c>
      <c r="L8" s="642">
        <v>86721058.353331894</v>
      </c>
      <c r="M8" s="642">
        <v>107368929.38983899</v>
      </c>
    </row>
    <row r="9" spans="2:13" s="453" customFormat="1" ht="8.1" customHeight="1" x14ac:dyDescent="0.25">
      <c r="B9" s="638"/>
      <c r="C9" s="638"/>
      <c r="D9" s="639"/>
      <c r="E9" s="639"/>
      <c r="F9" s="639"/>
      <c r="G9" s="639"/>
      <c r="H9" s="639"/>
      <c r="I9" s="639"/>
      <c r="J9" s="639"/>
      <c r="K9" s="639"/>
      <c r="L9" s="639"/>
      <c r="M9" s="639"/>
    </row>
    <row r="10" spans="2:13" s="453" customFormat="1" ht="15.75" thickBot="1" x14ac:dyDescent="0.3">
      <c r="B10" s="641" t="s">
        <v>741</v>
      </c>
      <c r="C10" s="641"/>
      <c r="D10" s="642">
        <v>0</v>
      </c>
      <c r="E10" s="642">
        <v>18055685.3450066</v>
      </c>
      <c r="F10" s="642">
        <v>54167056.035019703</v>
      </c>
      <c r="G10" s="642">
        <v>90278426.725032806</v>
      </c>
      <c r="H10" s="642">
        <v>126389797.41504601</v>
      </c>
      <c r="I10" s="642">
        <v>162501168.105059</v>
      </c>
      <c r="J10" s="642">
        <v>198612538.79507199</v>
      </c>
      <c r="K10" s="642">
        <v>234723909.48508501</v>
      </c>
      <c r="L10" s="642">
        <v>270835280.175098</v>
      </c>
      <c r="M10" s="642">
        <v>306946650.86511099</v>
      </c>
    </row>
    <row r="12" spans="2:13" x14ac:dyDescent="0.25">
      <c r="B12" s="29" t="s">
        <v>428</v>
      </c>
      <c r="C12" s="29"/>
      <c r="D12" s="350"/>
      <c r="E12" s="350"/>
      <c r="F12" s="350"/>
      <c r="G12" s="350"/>
      <c r="H12" s="350">
        <f t="shared" ref="H12:M12" si="0">(H10-H8)/H8</f>
        <v>29.606011920448264</v>
      </c>
      <c r="I12" s="350">
        <f t="shared" si="0"/>
        <v>5.5584311258103405</v>
      </c>
      <c r="J12" s="350">
        <f t="shared" si="0"/>
        <v>3.3722874172068913</v>
      </c>
      <c r="K12" s="350">
        <f t="shared" si="0"/>
        <v>2.5524835264805961</v>
      </c>
      <c r="L12" s="350">
        <f t="shared" si="0"/>
        <v>2.123062440862062</v>
      </c>
      <c r="M12" s="350">
        <f t="shared" si="0"/>
        <v>1.858803311250669</v>
      </c>
    </row>
  </sheetData>
  <pageMargins left="0.7" right="0.7" top="0.75" bottom="0.75" header="0.3" footer="0.3"/>
  <pageSetup scale="63" orientation="landscape" r:id="rId1"/>
  <headerFooter>
    <oddHeader>&amp;C&amp;F-&amp;A-&amp;P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"/>
  <sheetViews>
    <sheetView view="pageBreakPreview" zoomScale="110" zoomScaleNormal="50" zoomScaleSheetLayoutView="110" workbookViewId="0">
      <selection sqref="A1:B3"/>
    </sheetView>
  </sheetViews>
  <sheetFormatPr baseColWidth="10" defaultColWidth="11.42578125" defaultRowHeight="11.25" x14ac:dyDescent="0.2"/>
  <cols>
    <col min="1" max="1" width="16.140625" style="403" customWidth="1"/>
    <col min="2" max="2" width="45.7109375" style="403" customWidth="1"/>
    <col min="3" max="3" width="18.42578125" style="403" customWidth="1"/>
    <col min="4" max="16384" width="11.42578125" style="403"/>
  </cols>
  <sheetData>
    <row r="1" spans="1:21" ht="12.75" customHeight="1" x14ac:dyDescent="0.2">
      <c r="A1" s="647" t="s">
        <v>511</v>
      </c>
      <c r="B1" s="647"/>
      <c r="C1" s="435"/>
    </row>
    <row r="2" spans="1:21" ht="12.75" x14ac:dyDescent="0.2">
      <c r="A2" s="647"/>
      <c r="B2" s="647"/>
      <c r="C2" s="435"/>
    </row>
    <row r="3" spans="1:21" ht="12" thickBot="1" x14ac:dyDescent="0.25">
      <c r="A3" s="648" t="s">
        <v>512</v>
      </c>
      <c r="B3" s="648"/>
      <c r="C3" s="435"/>
      <c r="D3" s="403" t="s">
        <v>573</v>
      </c>
    </row>
    <row r="4" spans="1:21" ht="12" thickTop="1" x14ac:dyDescent="0.2">
      <c r="C4" s="435"/>
    </row>
    <row r="5" spans="1:21" ht="11.25" customHeight="1" x14ac:dyDescent="0.2">
      <c r="A5" s="436" t="s">
        <v>513</v>
      </c>
      <c r="B5" s="436"/>
      <c r="C5" s="436"/>
      <c r="D5" s="403" t="s">
        <v>574</v>
      </c>
    </row>
    <row r="6" spans="1:21" ht="12" thickBot="1" x14ac:dyDescent="0.25">
      <c r="A6" s="404" t="s">
        <v>514</v>
      </c>
      <c r="B6" s="405" t="s">
        <v>515</v>
      </c>
      <c r="D6" s="403" t="s">
        <v>575</v>
      </c>
    </row>
    <row r="7" spans="1:21" ht="12" thickBot="1" x14ac:dyDescent="0.25">
      <c r="A7" s="406">
        <v>1950</v>
      </c>
      <c r="B7" s="406" t="s">
        <v>516</v>
      </c>
    </row>
    <row r="8" spans="1:21" ht="12" thickBot="1" x14ac:dyDescent="0.25">
      <c r="A8" s="406">
        <v>1951</v>
      </c>
      <c r="B8" s="406" t="s">
        <v>517</v>
      </c>
      <c r="D8" s="407" t="s">
        <v>514</v>
      </c>
      <c r="E8" s="408">
        <v>1996</v>
      </c>
      <c r="F8" s="408">
        <v>1997</v>
      </c>
      <c r="G8" s="408">
        <v>1998</v>
      </c>
      <c r="H8" s="408">
        <v>1999</v>
      </c>
      <c r="I8" s="408">
        <v>2000</v>
      </c>
      <c r="J8" s="408">
        <v>2001</v>
      </c>
      <c r="K8" s="408">
        <v>2002</v>
      </c>
      <c r="L8" s="408">
        <v>2003</v>
      </c>
      <c r="M8" s="408">
        <v>2004</v>
      </c>
      <c r="N8" s="408">
        <v>2005</v>
      </c>
      <c r="O8" s="408">
        <v>2006</v>
      </c>
      <c r="P8" s="408">
        <v>2007</v>
      </c>
      <c r="Q8" s="408">
        <v>2008</v>
      </c>
      <c r="R8" s="408">
        <v>2009</v>
      </c>
      <c r="S8" s="408">
        <v>2010</v>
      </c>
      <c r="T8" s="408">
        <v>2011</v>
      </c>
      <c r="U8" s="409">
        <v>2012</v>
      </c>
    </row>
    <row r="9" spans="1:21" ht="23.25" thickBot="1" x14ac:dyDescent="0.25">
      <c r="A9" s="406">
        <v>1952</v>
      </c>
      <c r="B9" s="406" t="s">
        <v>518</v>
      </c>
      <c r="D9" s="410" t="s">
        <v>515</v>
      </c>
      <c r="E9" s="411">
        <v>1036.55</v>
      </c>
      <c r="F9" s="411">
        <v>1141.08</v>
      </c>
      <c r="G9" s="411">
        <v>1427.04</v>
      </c>
      <c r="H9" s="411">
        <v>1758.58</v>
      </c>
      <c r="I9" s="411">
        <v>2087.42</v>
      </c>
      <c r="J9" s="411">
        <v>2299.77</v>
      </c>
      <c r="K9" s="411">
        <v>2507.96</v>
      </c>
      <c r="L9" s="411">
        <v>2877.5</v>
      </c>
      <c r="M9" s="411">
        <v>2626.22</v>
      </c>
      <c r="N9" s="411">
        <v>2320.77</v>
      </c>
      <c r="O9" s="411">
        <v>2357.98</v>
      </c>
      <c r="P9" s="411">
        <v>2078.35</v>
      </c>
      <c r="Q9" s="411">
        <v>1966.26</v>
      </c>
      <c r="R9" s="411">
        <v>2156.29</v>
      </c>
      <c r="S9" s="411">
        <v>1897.89</v>
      </c>
      <c r="T9" s="411">
        <v>1848.17</v>
      </c>
      <c r="U9" s="412">
        <v>1798.23</v>
      </c>
    </row>
    <row r="10" spans="1:21" x14ac:dyDescent="0.2">
      <c r="A10" s="406">
        <v>1953</v>
      </c>
      <c r="B10" s="406" t="s">
        <v>518</v>
      </c>
    </row>
    <row r="11" spans="1:21" x14ac:dyDescent="0.2">
      <c r="A11" s="406">
        <v>1954</v>
      </c>
      <c r="B11" s="406" t="s">
        <v>518</v>
      </c>
    </row>
    <row r="12" spans="1:21" x14ac:dyDescent="0.2">
      <c r="A12" s="406">
        <v>1955</v>
      </c>
      <c r="B12" s="406" t="s">
        <v>518</v>
      </c>
    </row>
    <row r="13" spans="1:21" x14ac:dyDescent="0.2">
      <c r="A13" s="406">
        <v>1956</v>
      </c>
      <c r="B13" s="406" t="s">
        <v>518</v>
      </c>
    </row>
    <row r="14" spans="1:21" x14ac:dyDescent="0.2">
      <c r="A14" s="406">
        <v>1957</v>
      </c>
      <c r="B14" s="406" t="s">
        <v>519</v>
      </c>
    </row>
    <row r="15" spans="1:21" x14ac:dyDescent="0.2">
      <c r="A15" s="406">
        <v>1958</v>
      </c>
      <c r="B15" s="406" t="s">
        <v>520</v>
      </c>
    </row>
    <row r="16" spans="1:21" x14ac:dyDescent="0.2">
      <c r="A16" s="406">
        <v>1959</v>
      </c>
      <c r="B16" s="406" t="s">
        <v>520</v>
      </c>
    </row>
    <row r="17" spans="1:2" x14ac:dyDescent="0.2">
      <c r="A17" s="406">
        <v>1960</v>
      </c>
      <c r="B17" s="406" t="s">
        <v>521</v>
      </c>
    </row>
    <row r="18" spans="1:2" x14ac:dyDescent="0.2">
      <c r="A18" s="406">
        <v>1961</v>
      </c>
      <c r="B18" s="406" t="s">
        <v>522</v>
      </c>
    </row>
    <row r="19" spans="1:2" x14ac:dyDescent="0.2">
      <c r="A19" s="406">
        <v>1962</v>
      </c>
      <c r="B19" s="406" t="s">
        <v>523</v>
      </c>
    </row>
    <row r="20" spans="1:2" x14ac:dyDescent="0.2">
      <c r="A20" s="406">
        <v>1963</v>
      </c>
      <c r="B20" s="406" t="s">
        <v>524</v>
      </c>
    </row>
    <row r="21" spans="1:2" x14ac:dyDescent="0.2">
      <c r="A21" s="406">
        <v>1964</v>
      </c>
      <c r="B21" s="406" t="s">
        <v>524</v>
      </c>
    </row>
    <row r="22" spans="1:2" x14ac:dyDescent="0.2">
      <c r="A22" s="406">
        <v>1965</v>
      </c>
      <c r="B22" s="406" t="s">
        <v>525</v>
      </c>
    </row>
    <row r="23" spans="1:2" x14ac:dyDescent="0.2">
      <c r="A23" s="406">
        <v>1966</v>
      </c>
      <c r="B23" s="406" t="s">
        <v>526</v>
      </c>
    </row>
    <row r="24" spans="1:2" x14ac:dyDescent="0.2">
      <c r="A24" s="406">
        <v>1967</v>
      </c>
      <c r="B24" s="406" t="s">
        <v>527</v>
      </c>
    </row>
    <row r="25" spans="1:2" x14ac:dyDescent="0.2">
      <c r="A25" s="406">
        <v>1968</v>
      </c>
      <c r="B25" s="406" t="s">
        <v>528</v>
      </c>
    </row>
    <row r="26" spans="1:2" x14ac:dyDescent="0.2">
      <c r="A26" s="406">
        <v>1969</v>
      </c>
      <c r="B26" s="406" t="s">
        <v>529</v>
      </c>
    </row>
    <row r="27" spans="1:2" x14ac:dyDescent="0.2">
      <c r="A27" s="406">
        <v>1970</v>
      </c>
      <c r="B27" s="406" t="s">
        <v>530</v>
      </c>
    </row>
    <row r="28" spans="1:2" x14ac:dyDescent="0.2">
      <c r="A28" s="406">
        <v>1971</v>
      </c>
      <c r="B28" s="406" t="s">
        <v>531</v>
      </c>
    </row>
    <row r="29" spans="1:2" x14ac:dyDescent="0.2">
      <c r="A29" s="406">
        <v>1972</v>
      </c>
      <c r="B29" s="406" t="s">
        <v>532</v>
      </c>
    </row>
    <row r="30" spans="1:2" x14ac:dyDescent="0.2">
      <c r="A30" s="406">
        <v>1973</v>
      </c>
      <c r="B30" s="406" t="s">
        <v>533</v>
      </c>
    </row>
    <row r="31" spans="1:2" x14ac:dyDescent="0.2">
      <c r="A31" s="406">
        <v>1974</v>
      </c>
      <c r="B31" s="406" t="s">
        <v>534</v>
      </c>
    </row>
    <row r="32" spans="1:2" x14ac:dyDescent="0.2">
      <c r="A32" s="406">
        <v>1975</v>
      </c>
      <c r="B32" s="406" t="s">
        <v>535</v>
      </c>
    </row>
    <row r="33" spans="1:2" x14ac:dyDescent="0.2">
      <c r="A33" s="406">
        <v>1976</v>
      </c>
      <c r="B33" s="406" t="s">
        <v>536</v>
      </c>
    </row>
    <row r="34" spans="1:2" x14ac:dyDescent="0.2">
      <c r="A34" s="406">
        <v>1977</v>
      </c>
      <c r="B34" s="406" t="s">
        <v>537</v>
      </c>
    </row>
    <row r="35" spans="1:2" x14ac:dyDescent="0.2">
      <c r="A35" s="406">
        <v>1978</v>
      </c>
      <c r="B35" s="406" t="s">
        <v>538</v>
      </c>
    </row>
    <row r="36" spans="1:2" x14ac:dyDescent="0.2">
      <c r="A36" s="406">
        <v>1979</v>
      </c>
      <c r="B36" s="406" t="s">
        <v>539</v>
      </c>
    </row>
    <row r="37" spans="1:2" x14ac:dyDescent="0.2">
      <c r="A37" s="406">
        <v>1980</v>
      </c>
      <c r="B37" s="406" t="s">
        <v>540</v>
      </c>
    </row>
    <row r="38" spans="1:2" x14ac:dyDescent="0.2">
      <c r="A38" s="406">
        <v>1981</v>
      </c>
      <c r="B38" s="406" t="s">
        <v>541</v>
      </c>
    </row>
    <row r="39" spans="1:2" x14ac:dyDescent="0.2">
      <c r="A39" s="406">
        <v>1982</v>
      </c>
      <c r="B39" s="406" t="s">
        <v>542</v>
      </c>
    </row>
    <row r="40" spans="1:2" x14ac:dyDescent="0.2">
      <c r="A40" s="406">
        <v>1983</v>
      </c>
      <c r="B40" s="406" t="s">
        <v>543</v>
      </c>
    </row>
    <row r="41" spans="1:2" x14ac:dyDescent="0.2">
      <c r="A41" s="406">
        <v>1984</v>
      </c>
      <c r="B41" s="406" t="s">
        <v>544</v>
      </c>
    </row>
    <row r="42" spans="1:2" x14ac:dyDescent="0.2">
      <c r="A42" s="406">
        <v>1985</v>
      </c>
      <c r="B42" s="406" t="s">
        <v>545</v>
      </c>
    </row>
    <row r="43" spans="1:2" x14ac:dyDescent="0.2">
      <c r="A43" s="406">
        <v>1986</v>
      </c>
      <c r="B43" s="406" t="s">
        <v>546</v>
      </c>
    </row>
    <row r="44" spans="1:2" x14ac:dyDescent="0.2">
      <c r="A44" s="406">
        <v>1987</v>
      </c>
      <c r="B44" s="406" t="s">
        <v>547</v>
      </c>
    </row>
    <row r="45" spans="1:2" x14ac:dyDescent="0.2">
      <c r="A45" s="406">
        <v>1988</v>
      </c>
      <c r="B45" s="406" t="s">
        <v>548</v>
      </c>
    </row>
    <row r="46" spans="1:2" x14ac:dyDescent="0.2">
      <c r="A46" s="406">
        <v>1989</v>
      </c>
      <c r="B46" s="406" t="s">
        <v>549</v>
      </c>
    </row>
    <row r="47" spans="1:2" x14ac:dyDescent="0.2">
      <c r="A47" s="406">
        <v>1990</v>
      </c>
      <c r="B47" s="406" t="s">
        <v>550</v>
      </c>
    </row>
    <row r="48" spans="1:2" x14ac:dyDescent="0.2">
      <c r="A48" s="406">
        <v>1991</v>
      </c>
      <c r="B48" s="406" t="s">
        <v>551</v>
      </c>
    </row>
    <row r="49" spans="1:2" x14ac:dyDescent="0.2">
      <c r="A49" s="406">
        <v>1992</v>
      </c>
      <c r="B49" s="406" t="s">
        <v>552</v>
      </c>
    </row>
    <row r="50" spans="1:2" x14ac:dyDescent="0.2">
      <c r="A50" s="406">
        <v>1993</v>
      </c>
      <c r="B50" s="406" t="s">
        <v>553</v>
      </c>
    </row>
    <row r="51" spans="1:2" x14ac:dyDescent="0.2">
      <c r="A51" s="406">
        <v>1994</v>
      </c>
      <c r="B51" s="406" t="s">
        <v>554</v>
      </c>
    </row>
    <row r="52" spans="1:2" x14ac:dyDescent="0.2">
      <c r="A52" s="406">
        <v>1995</v>
      </c>
      <c r="B52" s="406" t="s">
        <v>555</v>
      </c>
    </row>
    <row r="53" spans="1:2" x14ac:dyDescent="0.2">
      <c r="A53" s="406">
        <v>1996</v>
      </c>
      <c r="B53" s="406" t="s">
        <v>556</v>
      </c>
    </row>
    <row r="54" spans="1:2" x14ac:dyDescent="0.2">
      <c r="A54" s="406">
        <v>1997</v>
      </c>
      <c r="B54" s="406" t="s">
        <v>557</v>
      </c>
    </row>
    <row r="55" spans="1:2" x14ac:dyDescent="0.2">
      <c r="A55" s="406">
        <v>1998</v>
      </c>
      <c r="B55" s="406" t="s">
        <v>558</v>
      </c>
    </row>
    <row r="56" spans="1:2" x14ac:dyDescent="0.2">
      <c r="A56" s="406">
        <v>1999</v>
      </c>
      <c r="B56" s="406" t="s">
        <v>559</v>
      </c>
    </row>
    <row r="57" spans="1:2" x14ac:dyDescent="0.2">
      <c r="A57" s="406">
        <v>2000</v>
      </c>
      <c r="B57" s="406" t="s">
        <v>560</v>
      </c>
    </row>
    <row r="58" spans="1:2" x14ac:dyDescent="0.2">
      <c r="A58" s="406">
        <v>2001</v>
      </c>
      <c r="B58" s="406" t="s">
        <v>561</v>
      </c>
    </row>
    <row r="59" spans="1:2" x14ac:dyDescent="0.2">
      <c r="A59" s="406">
        <v>2002</v>
      </c>
      <c r="B59" s="406" t="s">
        <v>562</v>
      </c>
    </row>
    <row r="60" spans="1:2" x14ac:dyDescent="0.2">
      <c r="A60" s="406">
        <v>2003</v>
      </c>
      <c r="B60" s="406" t="s">
        <v>563</v>
      </c>
    </row>
    <row r="61" spans="1:2" x14ac:dyDescent="0.2">
      <c r="A61" s="406">
        <v>2004</v>
      </c>
      <c r="B61" s="406" t="s">
        <v>564</v>
      </c>
    </row>
    <row r="62" spans="1:2" x14ac:dyDescent="0.2">
      <c r="A62" s="406">
        <v>2005</v>
      </c>
      <c r="B62" s="406" t="s">
        <v>565</v>
      </c>
    </row>
    <row r="63" spans="1:2" x14ac:dyDescent="0.2">
      <c r="A63" s="406">
        <v>2006</v>
      </c>
      <c r="B63" s="406" t="s">
        <v>566</v>
      </c>
    </row>
    <row r="64" spans="1:2" x14ac:dyDescent="0.2">
      <c r="A64" s="406">
        <v>2007</v>
      </c>
      <c r="B64" s="406" t="s">
        <v>567</v>
      </c>
    </row>
    <row r="65" spans="1:3" x14ac:dyDescent="0.2">
      <c r="A65" s="406">
        <v>2008</v>
      </c>
      <c r="B65" s="406" t="s">
        <v>568</v>
      </c>
    </row>
    <row r="66" spans="1:3" x14ac:dyDescent="0.2">
      <c r="A66" s="406">
        <v>2009</v>
      </c>
      <c r="B66" s="406" t="s">
        <v>569</v>
      </c>
    </row>
    <row r="67" spans="1:3" x14ac:dyDescent="0.2">
      <c r="A67" s="406">
        <v>2010</v>
      </c>
      <c r="B67" s="406" t="s">
        <v>570</v>
      </c>
    </row>
    <row r="68" spans="1:3" x14ac:dyDescent="0.2">
      <c r="A68" s="406">
        <v>2011</v>
      </c>
      <c r="B68" s="406" t="s">
        <v>571</v>
      </c>
    </row>
    <row r="69" spans="1:3" x14ac:dyDescent="0.2">
      <c r="A69" s="406">
        <v>2012</v>
      </c>
      <c r="B69" s="406" t="s">
        <v>572</v>
      </c>
    </row>
    <row r="70" spans="1:3" ht="39.75" customHeight="1" x14ac:dyDescent="0.2">
      <c r="A70" s="434" t="s">
        <v>577</v>
      </c>
      <c r="B70" s="434"/>
      <c r="C70" s="434"/>
    </row>
    <row r="71" spans="1:3" x14ac:dyDescent="0.2">
      <c r="A71" s="434"/>
      <c r="B71" s="434"/>
      <c r="C71" s="434"/>
    </row>
  </sheetData>
  <mergeCells count="6">
    <mergeCell ref="A70:C71"/>
    <mergeCell ref="A1:B1"/>
    <mergeCell ref="C1:C4"/>
    <mergeCell ref="A2:B2"/>
    <mergeCell ref="A3:B3"/>
    <mergeCell ref="A5:C5"/>
  </mergeCells>
  <printOptions horizontalCentered="1"/>
  <pageMargins left="0.7" right="0.7" top="0.75" bottom="0.75" header="0.3" footer="0.3"/>
  <pageSetup scale="82" orientation="portrait" r:id="rId1"/>
  <headerFooter>
    <oddHeader>&amp;C&amp;F-&amp;A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B14" sqref="B14"/>
    </sheetView>
  </sheetViews>
  <sheetFormatPr baseColWidth="10" defaultRowHeight="15" x14ac:dyDescent="0.25"/>
  <cols>
    <col min="1" max="1" width="11.42578125" style="453"/>
    <col min="2" max="2" width="40.42578125" style="453" customWidth="1"/>
  </cols>
  <sheetData>
    <row r="1" spans="1:2" x14ac:dyDescent="0.25">
      <c r="A1" s="453" t="s">
        <v>98</v>
      </c>
    </row>
    <row r="2" spans="1:2" ht="15.75" x14ac:dyDescent="0.25">
      <c r="A2" s="644" t="s">
        <v>89</v>
      </c>
      <c r="B2" s="645" t="s">
        <v>742</v>
      </c>
    </row>
    <row r="3" spans="1:2" ht="15.75" x14ac:dyDescent="0.25">
      <c r="A3" s="644" t="s">
        <v>90</v>
      </c>
      <c r="B3" s="645" t="s">
        <v>743</v>
      </c>
    </row>
    <row r="4" spans="1:2" ht="15.75" x14ac:dyDescent="0.25">
      <c r="A4" s="644" t="s">
        <v>91</v>
      </c>
      <c r="B4" s="645" t="s">
        <v>92</v>
      </c>
    </row>
    <row r="5" spans="1:2" ht="15.75" x14ac:dyDescent="0.25">
      <c r="A5" s="644" t="s">
        <v>93</v>
      </c>
      <c r="B5" s="645" t="s">
        <v>744</v>
      </c>
    </row>
    <row r="6" spans="1:2" ht="15.75" x14ac:dyDescent="0.25">
      <c r="A6" s="644" t="s">
        <v>94</v>
      </c>
      <c r="B6" s="645" t="s">
        <v>745</v>
      </c>
    </row>
    <row r="7" spans="1:2" ht="15.75" x14ac:dyDescent="0.25">
      <c r="A7" s="644" t="s">
        <v>95</v>
      </c>
      <c r="B7" s="645" t="s">
        <v>746</v>
      </c>
    </row>
    <row r="8" spans="1:2" ht="47.25" x14ac:dyDescent="0.25">
      <c r="A8" s="644" t="s">
        <v>96</v>
      </c>
      <c r="B8" s="645" t="s">
        <v>747</v>
      </c>
    </row>
    <row r="9" spans="1:2" ht="31.5" x14ac:dyDescent="0.25">
      <c r="A9" s="644" t="s">
        <v>86</v>
      </c>
      <c r="B9" s="645" t="s">
        <v>748</v>
      </c>
    </row>
    <row r="10" spans="1:2" ht="15.75" x14ac:dyDescent="0.25">
      <c r="A10" s="644" t="s">
        <v>97</v>
      </c>
      <c r="B10" s="646" t="s">
        <v>749</v>
      </c>
    </row>
    <row r="11" spans="1:2" ht="15.75" x14ac:dyDescent="0.25">
      <c r="A11" s="644" t="s">
        <v>99</v>
      </c>
      <c r="B11" s="645" t="s">
        <v>750</v>
      </c>
    </row>
  </sheetData>
  <customSheetViews>
    <customSheetView guid="{4855CA7E-D0E4-4BAE-B28F-C7B8E2548C7E}">
      <selection activeCell="E22" sqref="E22"/>
      <pageMargins left="0.7" right="0.7" top="0.75" bottom="0.75" header="0.3" footer="0.3"/>
    </customSheetView>
    <customSheetView guid="{8877400E-0ED9-40F2-B6D2-591D7CFEBFC1}">
      <selection activeCell="B12" sqref="B12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baseColWidth="10"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workbookViewId="0">
      <selection activeCell="I14" sqref="I14"/>
    </sheetView>
  </sheetViews>
  <sheetFormatPr baseColWidth="10" defaultRowHeight="15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20"/>
  <sheetViews>
    <sheetView view="pageBreakPreview" zoomScale="110" zoomScaleNormal="50" zoomScaleSheetLayoutView="110" workbookViewId="0">
      <selection activeCell="G23" sqref="G23"/>
    </sheetView>
  </sheetViews>
  <sheetFormatPr baseColWidth="10" defaultRowHeight="15" x14ac:dyDescent="0.25"/>
  <sheetData>
    <row r="1" spans="1:50" x14ac:dyDescent="0.25">
      <c r="A1" s="379" t="s">
        <v>494</v>
      </c>
      <c r="B1" s="379">
        <v>1993</v>
      </c>
      <c r="C1" s="379">
        <v>1994</v>
      </c>
      <c r="D1" s="379">
        <v>1995</v>
      </c>
      <c r="E1" s="380">
        <v>1996</v>
      </c>
      <c r="F1" s="380">
        <v>1997</v>
      </c>
      <c r="G1" s="380">
        <v>1998</v>
      </c>
      <c r="H1" s="380">
        <v>1999</v>
      </c>
      <c r="I1" s="380">
        <v>2000</v>
      </c>
      <c r="J1" s="380">
        <v>2001</v>
      </c>
      <c r="K1" s="380">
        <v>2002</v>
      </c>
      <c r="L1" s="380">
        <v>2003</v>
      </c>
      <c r="M1" s="380">
        <v>2004</v>
      </c>
      <c r="N1" s="380">
        <v>2005</v>
      </c>
      <c r="O1" s="380">
        <v>2006</v>
      </c>
      <c r="P1" s="380">
        <v>2007</v>
      </c>
      <c r="Q1" s="380">
        <v>2008</v>
      </c>
      <c r="R1" s="380">
        <v>2009</v>
      </c>
      <c r="S1" s="380">
        <v>2010</v>
      </c>
      <c r="T1" s="380">
        <v>2011</v>
      </c>
      <c r="U1" s="380">
        <v>2012</v>
      </c>
      <c r="V1" s="380">
        <v>2013</v>
      </c>
      <c r="W1" s="380">
        <v>2014</v>
      </c>
      <c r="X1" s="380">
        <v>2015</v>
      </c>
      <c r="Y1" s="380">
        <v>2016</v>
      </c>
      <c r="Z1" s="380">
        <v>2017</v>
      </c>
      <c r="AA1" s="380">
        <v>2018</v>
      </c>
      <c r="AB1" s="380">
        <v>2019</v>
      </c>
      <c r="AC1" s="380">
        <v>2020</v>
      </c>
      <c r="AD1" s="380">
        <v>2021</v>
      </c>
      <c r="AE1" s="380">
        <v>2022</v>
      </c>
      <c r="AF1" s="380">
        <v>2023</v>
      </c>
      <c r="AG1" s="380">
        <v>2024</v>
      </c>
      <c r="AH1" s="380">
        <v>2025</v>
      </c>
      <c r="AI1" s="380">
        <v>2026</v>
      </c>
      <c r="AJ1" s="380">
        <v>2027</v>
      </c>
      <c r="AK1" s="380">
        <v>2028</v>
      </c>
      <c r="AL1" s="380">
        <v>2029</v>
      </c>
      <c r="AM1" s="380">
        <v>2030</v>
      </c>
      <c r="AN1" s="380">
        <v>2031</v>
      </c>
      <c r="AO1" s="380">
        <v>2032</v>
      </c>
      <c r="AP1" s="380">
        <v>2033</v>
      </c>
      <c r="AQ1" s="380">
        <v>2034</v>
      </c>
      <c r="AR1" s="380">
        <v>2035</v>
      </c>
      <c r="AS1" s="380">
        <v>2036</v>
      </c>
      <c r="AT1" s="380">
        <v>2037</v>
      </c>
      <c r="AU1" s="380">
        <v>2038</v>
      </c>
      <c r="AV1" s="380">
        <v>2039</v>
      </c>
      <c r="AW1" s="380">
        <v>2040</v>
      </c>
      <c r="AX1" s="380"/>
    </row>
    <row r="2" spans="1:50" x14ac:dyDescent="0.25">
      <c r="A2" s="383" t="s">
        <v>495</v>
      </c>
      <c r="B2" s="383">
        <v>23.8202</v>
      </c>
      <c r="C2" s="383">
        <v>26.9557</v>
      </c>
      <c r="D2" s="383">
        <v>32.543799999999997</v>
      </c>
      <c r="E2" s="383">
        <v>37.565600000000003</v>
      </c>
      <c r="F2" s="383">
        <v>43.027299999999997</v>
      </c>
      <c r="G2" s="383">
        <v>50.551000000000002</v>
      </c>
      <c r="H2" s="383">
        <v>57.376899999999999</v>
      </c>
      <c r="I2" s="383">
        <v>64.6678</v>
      </c>
      <c r="J2" s="383">
        <v>71.805700000000002</v>
      </c>
      <c r="K2" s="383">
        <v>76.782899999999998</v>
      </c>
      <c r="L2" s="383">
        <v>83.908699999999996</v>
      </c>
      <c r="M2" s="383">
        <v>88.711399999999998</v>
      </c>
      <c r="N2" s="383">
        <v>92.828000000000003</v>
      </c>
      <c r="O2" s="383">
        <v>94.747799999999998</v>
      </c>
      <c r="P2" s="383">
        <v>99.998099999999994</v>
      </c>
      <c r="Q2" s="398">
        <v>101.26990000000001</v>
      </c>
      <c r="R2" s="398">
        <v>110.38</v>
      </c>
      <c r="S2" s="398">
        <v>107.97</v>
      </c>
      <c r="T2" s="398">
        <v>112.69</v>
      </c>
      <c r="U2" s="385">
        <v>118.55</v>
      </c>
      <c r="V2" s="385">
        <v>122.1065000000842</v>
      </c>
      <c r="W2" s="385">
        <v>125.76969500017344</v>
      </c>
      <c r="X2" s="385">
        <v>129.54278585026793</v>
      </c>
      <c r="Y2" s="385">
        <v>133.42906942586797</v>
      </c>
      <c r="Z2" s="385">
        <v>137.43194150873876</v>
      </c>
      <c r="AA2" s="385">
        <v>141.5548997540985</v>
      </c>
      <c r="AB2" s="385">
        <v>145.80154674682197</v>
      </c>
      <c r="AC2" s="385">
        <v>150.17559314933024</v>
      </c>
      <c r="AD2" s="385">
        <v>154.68086094391674</v>
      </c>
      <c r="AE2" s="385">
        <v>159.32128677234411</v>
      </c>
      <c r="AF2" s="385">
        <v>164.10092537562755</v>
      </c>
      <c r="AG2" s="385">
        <v>169.02395313701291</v>
      </c>
      <c r="AH2" s="385">
        <v>174.09467173124332</v>
      </c>
      <c r="AI2" s="385">
        <v>179.31751188330423</v>
      </c>
      <c r="AJ2" s="385">
        <v>184.69703723993069</v>
      </c>
      <c r="AK2" s="385">
        <v>190.23794835725977</v>
      </c>
      <c r="AL2" s="385">
        <v>195.94508680811265</v>
      </c>
      <c r="AM2" s="385">
        <v>201.82343941249519</v>
      </c>
      <c r="AN2" s="385">
        <v>207.87814259501337</v>
      </c>
      <c r="AO2" s="385">
        <v>214.1144868730114</v>
      </c>
      <c r="AP2" s="385">
        <v>220.53792147935377</v>
      </c>
      <c r="AQ2" s="385">
        <v>227.15405912389102</v>
      </c>
      <c r="AR2" s="385">
        <v>233.96868089776908</v>
      </c>
      <c r="AS2" s="385">
        <v>240.98774132486827</v>
      </c>
      <c r="AT2" s="385">
        <v>248.21737356478545</v>
      </c>
      <c r="AU2" s="385">
        <v>255.66389477190532</v>
      </c>
      <c r="AV2" s="385">
        <v>263.33381161524414</v>
      </c>
      <c r="AW2" s="385">
        <v>271.23382596388848</v>
      </c>
      <c r="AX2" s="385"/>
    </row>
    <row r="3" spans="1:50" x14ac:dyDescent="0.25">
      <c r="A3" s="383" t="s">
        <v>496</v>
      </c>
      <c r="B3" s="378"/>
      <c r="C3" s="383">
        <v>27.699400000000001</v>
      </c>
      <c r="D3" s="383">
        <v>32.875500000000002</v>
      </c>
      <c r="E3" s="383">
        <v>38.701599999999999</v>
      </c>
      <c r="F3" s="383">
        <v>43.616700000000002</v>
      </c>
      <c r="G3" s="383">
        <v>51.71</v>
      </c>
      <c r="H3" s="383">
        <v>59.000500000000002</v>
      </c>
      <c r="I3" s="383">
        <v>65.570599999999999</v>
      </c>
      <c r="J3" s="383">
        <v>73.093599999999995</v>
      </c>
      <c r="K3" s="383">
        <v>77.113900000000001</v>
      </c>
      <c r="L3" s="383">
        <v>84.8476</v>
      </c>
      <c r="M3" s="383">
        <v>89.325299999999999</v>
      </c>
      <c r="N3" s="383">
        <v>93.279399999999995</v>
      </c>
      <c r="O3" s="383">
        <v>95.450199999999995</v>
      </c>
      <c r="P3" s="383">
        <v>100.1986</v>
      </c>
      <c r="Q3" s="383">
        <v>102.45</v>
      </c>
      <c r="R3" s="383">
        <v>108.77</v>
      </c>
      <c r="S3" s="383">
        <v>109.29</v>
      </c>
      <c r="T3" s="383">
        <v>114.04</v>
      </c>
      <c r="U3" s="396">
        <v>118.84237628151342</v>
      </c>
      <c r="V3" s="396">
        <v>122.40764757004322</v>
      </c>
      <c r="W3" s="396">
        <v>126.07987699723145</v>
      </c>
      <c r="X3" s="396">
        <v>129.8622733072379</v>
      </c>
      <c r="Y3" s="396">
        <v>133.75814150654728</v>
      </c>
      <c r="Z3" s="396">
        <v>137.77088575183868</v>
      </c>
      <c r="AA3" s="396">
        <v>141.90401232449165</v>
      </c>
      <c r="AB3" s="396">
        <v>146.16113269432716</v>
      </c>
      <c r="AC3" s="396">
        <v>150.54596667526084</v>
      </c>
      <c r="AD3" s="396">
        <v>155.06234567562552</v>
      </c>
      <c r="AE3" s="396">
        <v>159.71421604600442</v>
      </c>
      <c r="AF3" s="396">
        <v>164.50564252749797</v>
      </c>
      <c r="AG3" s="396">
        <v>169.44081180343971</v>
      </c>
      <c r="AH3" s="396">
        <v>174.52403615766323</v>
      </c>
      <c r="AI3" s="396">
        <v>179.75975724251705</v>
      </c>
      <c r="AJ3" s="396">
        <v>185.15254995992021</v>
      </c>
      <c r="AK3" s="396">
        <v>190.70712645884927</v>
      </c>
      <c r="AL3" s="396">
        <v>196.42834025275019</v>
      </c>
      <c r="AM3" s="396">
        <v>202.3211904604722</v>
      </c>
      <c r="AN3" s="396">
        <v>208.39082617443003</v>
      </c>
      <c r="AO3" s="396">
        <v>214.64255095981093</v>
      </c>
      <c r="AP3" s="396">
        <v>221.08182748875765</v>
      </c>
      <c r="AQ3" s="396">
        <v>227.71428231357743</v>
      </c>
      <c r="AR3" s="396">
        <v>234.54571078314646</v>
      </c>
      <c r="AS3" s="396">
        <v>241.58208210680738</v>
      </c>
      <c r="AT3" s="396">
        <v>248.82954457018317</v>
      </c>
      <c r="AU3" s="396">
        <v>256.29443090746543</v>
      </c>
      <c r="AV3" s="396">
        <v>263.98326383487148</v>
      </c>
      <c r="AW3" s="396">
        <v>271.90276175010507</v>
      </c>
      <c r="AX3" s="385"/>
    </row>
    <row r="4" spans="1:50" x14ac:dyDescent="0.25">
      <c r="A4" s="383" t="s">
        <v>497</v>
      </c>
      <c r="B4" s="378"/>
      <c r="C4" s="383">
        <v>28.479099999999999</v>
      </c>
      <c r="D4" s="383">
        <v>33.717599999999997</v>
      </c>
      <c r="E4" s="383">
        <v>39.596299999999999</v>
      </c>
      <c r="F4" s="383">
        <v>44.435899999999997</v>
      </c>
      <c r="G4" s="383">
        <v>53.845700000000001</v>
      </c>
      <c r="H4" s="383">
        <v>59.704799999999999</v>
      </c>
      <c r="I4" s="383">
        <v>66.798299999999998</v>
      </c>
      <c r="J4" s="383">
        <v>74.393600000000006</v>
      </c>
      <c r="K4" s="383">
        <v>77.348600000000005</v>
      </c>
      <c r="L4" s="383">
        <v>85.906800000000004</v>
      </c>
      <c r="M4" s="383">
        <v>90.185900000000004</v>
      </c>
      <c r="N4" s="383">
        <v>94.055700000000002</v>
      </c>
      <c r="O4" s="383">
        <v>95.6066</v>
      </c>
      <c r="P4" s="383">
        <v>100.331</v>
      </c>
      <c r="Q4" s="383">
        <v>104.24</v>
      </c>
      <c r="R4" s="383">
        <v>110.72</v>
      </c>
      <c r="S4" s="383">
        <v>110.23</v>
      </c>
      <c r="T4" s="383">
        <v>115.28</v>
      </c>
      <c r="U4" s="396">
        <v>119.1354736418121</v>
      </c>
      <c r="V4" s="396">
        <v>122.70953785115107</v>
      </c>
      <c r="W4" s="396">
        <v>126.39082398677274</v>
      </c>
      <c r="X4" s="396">
        <v>130.18254870646564</v>
      </c>
      <c r="Y4" s="396">
        <v>134.08802516775208</v>
      </c>
      <c r="Z4" s="396">
        <v>138.11066592287986</v>
      </c>
      <c r="AA4" s="396">
        <v>142.2539859006643</v>
      </c>
      <c r="AB4" s="396">
        <v>146.52160547778527</v>
      </c>
      <c r="AC4" s="396">
        <v>150.91725364222293</v>
      </c>
      <c r="AD4" s="396">
        <v>155.44477125159673</v>
      </c>
      <c r="AE4" s="396">
        <v>160.10811438925504</v>
      </c>
      <c r="AF4" s="396">
        <v>164.91135782104638</v>
      </c>
      <c r="AG4" s="396">
        <v>169.85869855579489</v>
      </c>
      <c r="AH4" s="396">
        <v>174.95445951258935</v>
      </c>
      <c r="AI4" s="396">
        <v>180.20309329809126</v>
      </c>
      <c r="AJ4" s="396">
        <v>185.60918609716197</v>
      </c>
      <c r="AK4" s="396">
        <v>191.17746168020861</v>
      </c>
      <c r="AL4" s="396">
        <v>196.91278553075063</v>
      </c>
      <c r="AM4" s="396">
        <v>202.820169096813</v>
      </c>
      <c r="AN4" s="396">
        <v>208.90477416986141</v>
      </c>
      <c r="AO4" s="396">
        <v>215.17191739510562</v>
      </c>
      <c r="AP4" s="396">
        <v>221.62707491711154</v>
      </c>
      <c r="AQ4" s="396">
        <v>228.27588716478232</v>
      </c>
      <c r="AR4" s="396">
        <v>235.12416377988791</v>
      </c>
      <c r="AS4" s="396">
        <v>242.17788869345148</v>
      </c>
      <c r="AT4" s="396">
        <v>249.44322535442703</v>
      </c>
      <c r="AU4" s="396">
        <v>256.92652211523705</v>
      </c>
      <c r="AV4" s="396">
        <v>264.63431777887666</v>
      </c>
      <c r="AW4" s="396">
        <v>272.57334731243088</v>
      </c>
      <c r="AX4" s="385"/>
    </row>
    <row r="5" spans="1:50" x14ac:dyDescent="0.25">
      <c r="A5" s="383" t="s">
        <v>498</v>
      </c>
      <c r="B5" s="378"/>
      <c r="C5" s="383">
        <v>29.152200000000001</v>
      </c>
      <c r="D5" s="383">
        <v>34.610700000000001</v>
      </c>
      <c r="E5" s="383">
        <v>40.254600000000003</v>
      </c>
      <c r="F5" s="383">
        <v>45.8887</v>
      </c>
      <c r="G5" s="383">
        <v>54.421999999999997</v>
      </c>
      <c r="H5" s="383">
        <v>59.557000000000002</v>
      </c>
      <c r="I5" s="383">
        <v>67.701099999999997</v>
      </c>
      <c r="J5" s="383">
        <v>75.103800000000007</v>
      </c>
      <c r="K5" s="383">
        <v>77.769900000000007</v>
      </c>
      <c r="L5" s="383">
        <v>86.7012</v>
      </c>
      <c r="M5" s="383">
        <v>90.661299999999997</v>
      </c>
      <c r="N5" s="383">
        <v>95.132999999999996</v>
      </c>
      <c r="O5" s="383">
        <v>96.509399999999999</v>
      </c>
      <c r="P5" s="383">
        <v>100.6078</v>
      </c>
      <c r="Q5" s="383">
        <v>104</v>
      </c>
      <c r="R5" s="383">
        <v>111.06</v>
      </c>
      <c r="S5" s="383">
        <v>110.87</v>
      </c>
      <c r="T5" s="383">
        <v>116.35</v>
      </c>
      <c r="U5" s="396">
        <v>119.42929385927083</v>
      </c>
      <c r="V5" s="396">
        <v>123.01217267513377</v>
      </c>
      <c r="W5" s="396">
        <v>126.70253785547514</v>
      </c>
      <c r="X5" s="396">
        <v>130.50361399122934</v>
      </c>
      <c r="Y5" s="396">
        <v>134.41872241105892</v>
      </c>
      <c r="Z5" s="396">
        <v>138.45128408348614</v>
      </c>
      <c r="AA5" s="396">
        <v>142.60482260608902</v>
      </c>
      <c r="AB5" s="396">
        <v>146.88296728437297</v>
      </c>
      <c r="AC5" s="396">
        <v>151.28945630300851</v>
      </c>
      <c r="AD5" s="396">
        <v>155.82813999220616</v>
      </c>
      <c r="AE5" s="396">
        <v>160.50298419208301</v>
      </c>
      <c r="AF5" s="396">
        <v>165.31807371795946</v>
      </c>
      <c r="AG5" s="396">
        <v>170.27761592961565</v>
      </c>
      <c r="AH5" s="396">
        <v>175.38594440762503</v>
      </c>
      <c r="AI5" s="396">
        <v>180.64752273997831</v>
      </c>
      <c r="AJ5" s="396">
        <v>186.06694842230596</v>
      </c>
      <c r="AK5" s="396">
        <v>191.64895687510725</v>
      </c>
      <c r="AL5" s="396">
        <v>197.39842558149655</v>
      </c>
      <c r="AM5" s="396">
        <v>203.32037834908166</v>
      </c>
      <c r="AN5" s="396">
        <v>209.41998969969848</v>
      </c>
      <c r="AO5" s="396">
        <v>215.70258939083817</v>
      </c>
      <c r="AP5" s="396">
        <v>222.17366707271646</v>
      </c>
      <c r="AQ5" s="396">
        <v>228.83887708505574</v>
      </c>
      <c r="AR5" s="396">
        <v>235.70404339776994</v>
      </c>
      <c r="AS5" s="396">
        <v>242.7751646998704</v>
      </c>
      <c r="AT5" s="396">
        <v>250.05841964103894</v>
      </c>
      <c r="AU5" s="396">
        <v>257.56017223044773</v>
      </c>
      <c r="AV5" s="396">
        <v>265.28697739754415</v>
      </c>
      <c r="AW5" s="396">
        <v>273.24558671965883</v>
      </c>
      <c r="AX5" s="385"/>
    </row>
    <row r="6" spans="1:50" x14ac:dyDescent="0.25">
      <c r="A6" s="383" t="s">
        <v>499</v>
      </c>
      <c r="B6" s="383">
        <v>25.626000000000001</v>
      </c>
      <c r="C6" s="383">
        <v>29.613499999999998</v>
      </c>
      <c r="D6" s="383">
        <v>35.436399999999999</v>
      </c>
      <c r="E6" s="383">
        <v>40.619100000000003</v>
      </c>
      <c r="F6" s="383">
        <v>46.673400000000001</v>
      </c>
      <c r="G6" s="383">
        <v>55.347799999999999</v>
      </c>
      <c r="H6" s="383">
        <v>59.731000000000002</v>
      </c>
      <c r="I6" s="383">
        <v>68.802499999999995</v>
      </c>
      <c r="J6" s="383">
        <v>76.180999999999997</v>
      </c>
      <c r="K6" s="383">
        <v>78.064800000000005</v>
      </c>
      <c r="L6" s="383">
        <v>87.640100000000004</v>
      </c>
      <c r="M6" s="383">
        <v>91.251099999999994</v>
      </c>
      <c r="N6" s="383">
        <v>95.042699999999996</v>
      </c>
      <c r="O6" s="383">
        <v>98.194500000000005</v>
      </c>
      <c r="P6" s="383">
        <v>100.45140000000001</v>
      </c>
      <c r="Q6" s="383">
        <v>104.24</v>
      </c>
      <c r="R6" s="383">
        <v>111.08</v>
      </c>
      <c r="S6" s="383">
        <v>111.39</v>
      </c>
      <c r="T6" s="383">
        <v>116.58</v>
      </c>
      <c r="U6" s="396">
        <v>119.72383871665039</v>
      </c>
      <c r="V6" s="396">
        <v>123.31555387823492</v>
      </c>
      <c r="W6" s="396">
        <v>127.01502049466956</v>
      </c>
      <c r="X6" s="396">
        <v>130.82547110959982</v>
      </c>
      <c r="Y6" s="396">
        <v>134.75023524298072</v>
      </c>
      <c r="Z6" s="396">
        <v>138.79274230036583</v>
      </c>
      <c r="AA6" s="396">
        <v>142.95652456947533</v>
      </c>
      <c r="AB6" s="396">
        <v>147.24522030666114</v>
      </c>
      <c r="AC6" s="396">
        <v>151.66257691596559</v>
      </c>
      <c r="AD6" s="396">
        <v>156.21245422355221</v>
      </c>
      <c r="AE6" s="396">
        <v>160.89882785036971</v>
      </c>
      <c r="AF6" s="396">
        <v>165.72579268599506</v>
      </c>
      <c r="AG6" s="396">
        <v>170.69756646669259</v>
      </c>
      <c r="AH6" s="396">
        <v>175.81849346081458</v>
      </c>
      <c r="AI6" s="396">
        <v>181.09304826476387</v>
      </c>
      <c r="AJ6" s="396">
        <v>186.52583971283539</v>
      </c>
      <c r="AK6" s="396">
        <v>192.12161490435287</v>
      </c>
      <c r="AL6" s="396">
        <v>197.8852633516199</v>
      </c>
      <c r="AM6" s="396">
        <v>203.82182125230904</v>
      </c>
      <c r="AN6" s="396">
        <v>209.93647589002305</v>
      </c>
      <c r="AO6" s="396">
        <v>216.23457016687283</v>
      </c>
      <c r="AP6" s="396">
        <v>222.72160727203254</v>
      </c>
      <c r="AQ6" s="396">
        <v>229.40325549035168</v>
      </c>
      <c r="AR6" s="396">
        <v>236.28535315522518</v>
      </c>
      <c r="AS6" s="396">
        <v>243.3739137500497</v>
      </c>
      <c r="AT6" s="396">
        <v>250.67513116272406</v>
      </c>
      <c r="AU6" s="396">
        <v>258.19538509778386</v>
      </c>
      <c r="AV6" s="396">
        <v>265.94124665090078</v>
      </c>
      <c r="AW6" s="396">
        <v>273.91948405061663</v>
      </c>
      <c r="AX6" s="385"/>
    </row>
    <row r="7" spans="1:50" x14ac:dyDescent="0.25">
      <c r="A7" s="383" t="s">
        <v>500</v>
      </c>
      <c r="B7" s="383">
        <v>25.790099999999999</v>
      </c>
      <c r="C7" s="383">
        <v>29.9254</v>
      </c>
      <c r="D7" s="383">
        <v>35.912500000000001</v>
      </c>
      <c r="E7" s="383">
        <v>41.1477</v>
      </c>
      <c r="F7" s="383">
        <v>47.279200000000003</v>
      </c>
      <c r="G7" s="383">
        <v>56.301600000000001</v>
      </c>
      <c r="H7" s="383">
        <v>59.801600000000001</v>
      </c>
      <c r="I7" s="383">
        <v>69.151499999999999</v>
      </c>
      <c r="J7" s="383">
        <v>76.807000000000002</v>
      </c>
      <c r="K7" s="383">
        <v>78.600399999999993</v>
      </c>
      <c r="L7" s="383">
        <v>87.688199999999995</v>
      </c>
      <c r="M7" s="383">
        <v>92.322400000000002</v>
      </c>
      <c r="N7" s="383">
        <v>95.090900000000005</v>
      </c>
      <c r="O7" s="383">
        <v>98.910700000000006</v>
      </c>
      <c r="P7" s="383">
        <v>99.536600000000007</v>
      </c>
      <c r="Q7" s="383">
        <v>104.91</v>
      </c>
      <c r="R7" s="383">
        <v>110.47</v>
      </c>
      <c r="S7" s="383">
        <v>111.95</v>
      </c>
      <c r="T7" s="383">
        <v>117.28</v>
      </c>
      <c r="U7" s="396">
        <v>120.01911000110832</v>
      </c>
      <c r="V7" s="396">
        <v>123.61968330122679</v>
      </c>
      <c r="W7" s="396">
        <v>127.3282738003514</v>
      </c>
      <c r="X7" s="396">
        <v>131.14812201445233</v>
      </c>
      <c r="Y7" s="396">
        <v>135.08256567497904</v>
      </c>
      <c r="Z7" s="396">
        <v>139.13504264532435</v>
      </c>
      <c r="AA7" s="396">
        <v>143.30909392478284</v>
      </c>
      <c r="AB7" s="396">
        <v>147.60836674262814</v>
      </c>
      <c r="AC7" s="396">
        <v>152.03661774501182</v>
      </c>
      <c r="AD7" s="396">
        <v>156.59771627747011</v>
      </c>
      <c r="AE7" s="396">
        <v>161.29564776590541</v>
      </c>
      <c r="AF7" s="396">
        <v>166.13451719899712</v>
      </c>
      <c r="AG7" s="396">
        <v>171.118552715085</v>
      </c>
      <c r="AH7" s="396">
        <v>176.25210929665906</v>
      </c>
      <c r="AI7" s="396">
        <v>181.53967257568399</v>
      </c>
      <c r="AJ7" s="396">
        <v>186.98586275308344</v>
      </c>
      <c r="AK7" s="396">
        <v>192.5954386358087</v>
      </c>
      <c r="AL7" s="396">
        <v>198.37330179501973</v>
      </c>
      <c r="AM7" s="396">
        <v>204.3245008490112</v>
      </c>
      <c r="AN7" s="396">
        <v>210.45423587462665</v>
      </c>
      <c r="AO7" s="396">
        <v>216.76786295101491</v>
      </c>
      <c r="AP7" s="396">
        <v>223.27089883969927</v>
      </c>
      <c r="AQ7" s="396">
        <v>229.9690258050488</v>
      </c>
      <c r="AR7" s="396">
        <v>236.86809657936359</v>
      </c>
      <c r="AS7" s="396">
        <v>243.97413947691268</v>
      </c>
      <c r="AT7" s="396">
        <v>251.29336366139336</v>
      </c>
      <c r="AU7" s="396">
        <v>258.83216457141367</v>
      </c>
      <c r="AV7" s="396">
        <v>266.59712950873995</v>
      </c>
      <c r="AW7" s="396">
        <v>274.59504339419146</v>
      </c>
      <c r="AX7" s="385"/>
    </row>
    <row r="8" spans="1:50" x14ac:dyDescent="0.25">
      <c r="A8" s="383" t="s">
        <v>501</v>
      </c>
      <c r="B8" s="383">
        <v>25.921500000000002</v>
      </c>
      <c r="C8" s="383">
        <v>29.999300000000002</v>
      </c>
      <c r="D8" s="383">
        <v>36.450899999999997</v>
      </c>
      <c r="E8" s="383">
        <v>41.206800000000001</v>
      </c>
      <c r="F8" s="383">
        <v>48.265799999999999</v>
      </c>
      <c r="G8" s="383">
        <v>56.743200000000002</v>
      </c>
      <c r="H8" s="383">
        <v>60.184100000000001</v>
      </c>
      <c r="I8" s="383">
        <v>69.590900000000005</v>
      </c>
      <c r="J8" s="383">
        <v>76.620400000000004</v>
      </c>
      <c r="K8" s="383">
        <v>78.877300000000005</v>
      </c>
      <c r="L8" s="383">
        <v>87.5137</v>
      </c>
      <c r="M8" s="383">
        <v>92.659499999999994</v>
      </c>
      <c r="N8" s="383">
        <v>95.187200000000004</v>
      </c>
      <c r="O8" s="383">
        <v>99.741200000000006</v>
      </c>
      <c r="P8" s="383">
        <v>98.736199999999997</v>
      </c>
      <c r="Q8" s="383">
        <v>106.6</v>
      </c>
      <c r="R8" s="383">
        <v>109.52</v>
      </c>
      <c r="S8" s="383">
        <v>111.85</v>
      </c>
      <c r="T8" s="383">
        <v>117.08</v>
      </c>
      <c r="U8" s="396">
        <v>120.31510950420974</v>
      </c>
      <c r="V8" s="396">
        <v>123.92456278942147</v>
      </c>
      <c r="W8" s="396">
        <v>127.64229967319213</v>
      </c>
      <c r="X8" s="396">
        <v>131.47156866347851</v>
      </c>
      <c r="Y8" s="396">
        <v>135.41571572347624</v>
      </c>
      <c r="Z8" s="396">
        <v>139.47818719527669</v>
      </c>
      <c r="AA8" s="396">
        <v>143.662532811234</v>
      </c>
      <c r="AB8" s="396">
        <v>147.97240879567309</v>
      </c>
      <c r="AC8" s="396">
        <v>152.41158105964837</v>
      </c>
      <c r="AD8" s="396">
        <v>156.98392849154604</v>
      </c>
      <c r="AE8" s="396">
        <v>161.69344634640387</v>
      </c>
      <c r="AF8" s="396">
        <v>166.54424973691081</v>
      </c>
      <c r="AG8" s="396">
        <v>171.5405772291364</v>
      </c>
      <c r="AH8" s="396">
        <v>176.68679454613232</v>
      </c>
      <c r="AI8" s="396">
        <v>181.98739838264174</v>
      </c>
      <c r="AJ8" s="396">
        <v>187.44702033425025</v>
      </c>
      <c r="AK8" s="396">
        <v>193.07043094441084</v>
      </c>
      <c r="AL8" s="396">
        <v>198.86254387288028</v>
      </c>
      <c r="AM8" s="396">
        <v>204.82842018920792</v>
      </c>
      <c r="AN8" s="396">
        <v>210.9732727950296</v>
      </c>
      <c r="AO8" s="396">
        <v>217.30247097903032</v>
      </c>
      <c r="AP8" s="396">
        <v>223.82154510855554</v>
      </c>
      <c r="AQ8" s="396">
        <v>230.53619146197116</v>
      </c>
      <c r="AR8" s="396">
        <v>237.45227720599402</v>
      </c>
      <c r="AS8" s="396">
        <v>244.57584552234243</v>
      </c>
      <c r="AT8" s="396">
        <v>251.91312088818643</v>
      </c>
      <c r="AU8" s="396">
        <v>259.47051451501096</v>
      </c>
      <c r="AV8" s="396">
        <v>267.25462995064561</v>
      </c>
      <c r="AW8" s="396">
        <v>275.27226884935476</v>
      </c>
      <c r="AX8" s="385"/>
    </row>
    <row r="9" spans="1:50" x14ac:dyDescent="0.25">
      <c r="A9" s="383" t="s">
        <v>502</v>
      </c>
      <c r="B9" s="383">
        <v>26.118500000000001</v>
      </c>
      <c r="C9" s="383">
        <v>30.654299999999999</v>
      </c>
      <c r="D9" s="383">
        <v>36.587200000000003</v>
      </c>
      <c r="E9" s="383">
        <v>41.625399999999999</v>
      </c>
      <c r="F9" s="383">
        <v>48.072099999999999</v>
      </c>
      <c r="G9" s="383">
        <v>57.181600000000003</v>
      </c>
      <c r="H9" s="383">
        <v>61.219299999999997</v>
      </c>
      <c r="I9" s="383">
        <v>70.325100000000006</v>
      </c>
      <c r="J9" s="383">
        <v>76.674599999999998</v>
      </c>
      <c r="K9" s="383">
        <v>79.617599999999996</v>
      </c>
      <c r="L9" s="383">
        <v>87.700299999999999</v>
      </c>
      <c r="M9" s="383">
        <v>92.286299999999997</v>
      </c>
      <c r="N9" s="383">
        <v>95.090900000000005</v>
      </c>
      <c r="O9" s="383">
        <v>100.1083</v>
      </c>
      <c r="P9" s="383">
        <v>98.2607</v>
      </c>
      <c r="Q9" s="383">
        <v>107.69</v>
      </c>
      <c r="R9" s="383">
        <v>109.19</v>
      </c>
      <c r="S9" s="383">
        <v>111.17</v>
      </c>
      <c r="T9" s="383">
        <v>116.46</v>
      </c>
      <c r="U9" s="396">
        <v>120.61183902193831</v>
      </c>
      <c r="V9" s="396">
        <v>124.23019419268211</v>
      </c>
      <c r="W9" s="396">
        <v>127.95710001855079</v>
      </c>
      <c r="X9" s="396">
        <v>131.79581301919816</v>
      </c>
      <c r="Y9" s="396">
        <v>135.7496874098677</v>
      </c>
      <c r="Z9" s="396">
        <v>139.82217803226013</v>
      </c>
      <c r="AA9" s="396">
        <v>144.01684337332719</v>
      </c>
      <c r="AB9" s="396">
        <v>148.33734867462934</v>
      </c>
      <c r="AC9" s="396">
        <v>152.78746913497355</v>
      </c>
      <c r="AD9" s="396">
        <v>157.37109320913126</v>
      </c>
      <c r="AE9" s="396">
        <v>162.09222600551692</v>
      </c>
      <c r="AF9" s="396">
        <v>166.95499278579754</v>
      </c>
      <c r="AG9" s="396">
        <v>171.96364256949002</v>
      </c>
      <c r="AH9" s="396">
        <v>177.12255184669684</v>
      </c>
      <c r="AI9" s="396">
        <v>182.43622840222352</v>
      </c>
      <c r="AJ9" s="396">
        <v>187.90931525441979</v>
      </c>
      <c r="AK9" s="396">
        <v>193.54659471218579</v>
      </c>
      <c r="AL9" s="396">
        <v>199.35299255368881</v>
      </c>
      <c r="AM9" s="396">
        <v>205.33358233044106</v>
      </c>
      <c r="AN9" s="396">
        <v>211.4935898005001</v>
      </c>
      <c r="AO9" s="396">
        <v>217.83839749466529</v>
      </c>
      <c r="AP9" s="396">
        <v>224.37354941965995</v>
      </c>
      <c r="AQ9" s="396">
        <v>231.1047559024091</v>
      </c>
      <c r="AR9" s="396">
        <v>238.03789857964549</v>
      </c>
      <c r="AS9" s="396">
        <v>245.17903553720387</v>
      </c>
      <c r="AT9" s="396">
        <v>252.53440660349412</v>
      </c>
      <c r="AU9" s="396">
        <v>260.11043880177834</v>
      </c>
      <c r="AV9" s="396">
        <v>267.91375196601643</v>
      </c>
      <c r="AW9" s="396">
        <v>275.95116452518721</v>
      </c>
      <c r="AX9" s="385"/>
    </row>
    <row r="10" spans="1:50" x14ac:dyDescent="0.25">
      <c r="A10" s="383" t="s">
        <v>503</v>
      </c>
      <c r="B10" s="383">
        <v>26.2334</v>
      </c>
      <c r="C10" s="383">
        <v>31.153400000000001</v>
      </c>
      <c r="D10" s="383">
        <v>36.698799999999999</v>
      </c>
      <c r="E10" s="383">
        <v>41.835500000000003</v>
      </c>
      <c r="F10" s="383">
        <v>48.228099999999998</v>
      </c>
      <c r="G10" s="383">
        <v>56.872900000000001</v>
      </c>
      <c r="H10" s="383">
        <v>62.182200000000002</v>
      </c>
      <c r="I10" s="383">
        <v>70.686199999999999</v>
      </c>
      <c r="J10" s="383">
        <v>76.903300000000002</v>
      </c>
      <c r="K10" s="383">
        <v>80.586500000000001</v>
      </c>
      <c r="L10" s="383">
        <v>87.844700000000003</v>
      </c>
      <c r="M10" s="383">
        <v>92.370599999999996</v>
      </c>
      <c r="N10" s="383">
        <v>95.066800000000001</v>
      </c>
      <c r="O10" s="383">
        <v>100.1083</v>
      </c>
      <c r="P10" s="383">
        <v>98.477400000000003</v>
      </c>
      <c r="Q10" s="383">
        <v>107.34</v>
      </c>
      <c r="R10" s="383">
        <v>108.43</v>
      </c>
      <c r="S10" s="383">
        <v>110.58</v>
      </c>
      <c r="T10" s="383">
        <v>116.37</v>
      </c>
      <c r="U10" s="396">
        <v>120.90930035470701</v>
      </c>
      <c r="V10" s="396">
        <v>124.53657936543408</v>
      </c>
      <c r="W10" s="396">
        <v>128.27267674648553</v>
      </c>
      <c r="X10" s="396">
        <v>132.12085704897117</v>
      </c>
      <c r="Y10" s="396">
        <v>136.08448276053414</v>
      </c>
      <c r="Z10" s="396">
        <v>140.16701724344679</v>
      </c>
      <c r="AA10" s="396">
        <v>144.3720277608497</v>
      </c>
      <c r="AB10" s="396">
        <v>148.70318859377778</v>
      </c>
      <c r="AC10" s="396">
        <v>153.1642842516967</v>
      </c>
      <c r="AD10" s="396">
        <v>157.75921277935637</v>
      </c>
      <c r="AE10" s="396">
        <v>162.49198916284908</v>
      </c>
      <c r="AF10" s="396">
        <v>167.36674883784994</v>
      </c>
      <c r="AG10" s="396">
        <v>172.38775130310427</v>
      </c>
      <c r="AH10" s="396">
        <v>177.55938384231982</v>
      </c>
      <c r="AI10" s="396">
        <v>182.8861653577155</v>
      </c>
      <c r="AJ10" s="396">
        <v>188.37275031857686</v>
      </c>
      <c r="AK10" s="396">
        <v>194.0239328282679</v>
      </c>
      <c r="AL10" s="396">
        <v>199.84465081325371</v>
      </c>
      <c r="AM10" s="396">
        <v>205.83999033779327</v>
      </c>
      <c r="AN10" s="396">
        <v>212.01519004807324</v>
      </c>
      <c r="AO10" s="396">
        <v>218.37564574966598</v>
      </c>
      <c r="AP10" s="396">
        <v>224.92691512231104</v>
      </c>
      <c r="AQ10" s="396">
        <v>231.67472257614011</v>
      </c>
      <c r="AR10" s="396">
        <v>238.62496425358884</v>
      </c>
      <c r="AS10" s="396">
        <v>245.78371318136595</v>
      </c>
      <c r="AT10" s="396">
        <v>253.15722457698149</v>
      </c>
      <c r="AU10" s="396">
        <v>260.7519413144708</v>
      </c>
      <c r="AV10" s="396">
        <v>268.5744995540901</v>
      </c>
      <c r="AW10" s="396">
        <v>276.63173454090355</v>
      </c>
      <c r="AX10" s="385"/>
    </row>
    <row r="11" spans="1:50" x14ac:dyDescent="0.25">
      <c r="A11" s="383" t="s">
        <v>504</v>
      </c>
      <c r="B11" s="383">
        <v>26.4468</v>
      </c>
      <c r="C11" s="383">
        <v>31.386500000000002</v>
      </c>
      <c r="D11" s="383">
        <v>36.785800000000002</v>
      </c>
      <c r="E11" s="383">
        <v>42.09</v>
      </c>
      <c r="F11" s="383">
        <v>48.853499999999997</v>
      </c>
      <c r="G11" s="383">
        <v>56.890999999999998</v>
      </c>
      <c r="H11" s="383">
        <v>63.097000000000001</v>
      </c>
      <c r="I11" s="383">
        <v>71.245999999999995</v>
      </c>
      <c r="J11" s="383">
        <v>76.975499999999997</v>
      </c>
      <c r="K11" s="383">
        <v>82.175399999999996</v>
      </c>
      <c r="L11" s="383">
        <v>87.814599999999999</v>
      </c>
      <c r="M11" s="383">
        <v>92.653400000000005</v>
      </c>
      <c r="N11" s="383">
        <v>94.693700000000007</v>
      </c>
      <c r="O11" s="383">
        <v>100.343</v>
      </c>
      <c r="P11" s="383">
        <v>99.428299999999993</v>
      </c>
      <c r="Q11" s="383">
        <v>109.16</v>
      </c>
      <c r="R11" s="383">
        <v>107.53</v>
      </c>
      <c r="S11" s="383">
        <v>109.97</v>
      </c>
      <c r="T11" s="383">
        <v>117.26</v>
      </c>
      <c r="U11" s="396">
        <v>121.20749530736917</v>
      </c>
      <c r="V11" s="396">
        <v>124.84372016667631</v>
      </c>
      <c r="W11" s="396">
        <v>128.58903177176524</v>
      </c>
      <c r="X11" s="396">
        <v>132.44670272500952</v>
      </c>
      <c r="Y11" s="396">
        <v>136.42010380685386</v>
      </c>
      <c r="Z11" s="396">
        <v>140.51270692115634</v>
      </c>
      <c r="AA11" s="396">
        <v>144.72808812889079</v>
      </c>
      <c r="AB11" s="396">
        <v>149.06993077286035</v>
      </c>
      <c r="AC11" s="396">
        <v>153.54202869615199</v>
      </c>
      <c r="AD11" s="396">
        <v>158.1482895571456</v>
      </c>
      <c r="AE11" s="396">
        <v>162.89273824397225</v>
      </c>
      <c r="AF11" s="396">
        <v>167.77952039140709</v>
      </c>
      <c r="AG11" s="396">
        <v>172.81290600326844</v>
      </c>
      <c r="AH11" s="396">
        <v>177.99729318348921</v>
      </c>
      <c r="AI11" s="396">
        <v>183.33721197912027</v>
      </c>
      <c r="AJ11" s="396">
        <v>188.8373283386241</v>
      </c>
      <c r="AK11" s="396">
        <v>194.5024481889169</v>
      </c>
      <c r="AL11" s="396">
        <v>200.33752163472252</v>
      </c>
      <c r="AM11" s="396">
        <v>206.3476472839065</v>
      </c>
      <c r="AN11" s="396">
        <v>212.53807670257021</v>
      </c>
      <c r="AO11" s="396">
        <v>218.91421900379822</v>
      </c>
      <c r="AP11" s="396">
        <v>225.48164557406764</v>
      </c>
      <c r="AQ11" s="396">
        <v>232.24609494144983</v>
      </c>
      <c r="AR11" s="396">
        <v>239.21347778985825</v>
      </c>
      <c r="AS11" s="396">
        <v>246.38988212372385</v>
      </c>
      <c r="AT11" s="396">
        <v>253.78157858761057</v>
      </c>
      <c r="AU11" s="396">
        <v>261.39502594541921</v>
      </c>
      <c r="AV11" s="396">
        <v>269.23687672396738</v>
      </c>
      <c r="AW11" s="396">
        <v>277.31398302587763</v>
      </c>
      <c r="AX11" s="385"/>
    </row>
    <row r="12" spans="1:50" x14ac:dyDescent="0.25">
      <c r="A12" s="383" t="s">
        <v>505</v>
      </c>
      <c r="B12" s="383">
        <v>26.5945</v>
      </c>
      <c r="C12" s="383">
        <v>31.879000000000001</v>
      </c>
      <c r="D12" s="383">
        <v>36.867899999999999</v>
      </c>
      <c r="E12" s="383">
        <v>42.577500000000001</v>
      </c>
      <c r="F12" s="383">
        <v>49.874600000000001</v>
      </c>
      <c r="G12" s="383">
        <v>57.168399999999998</v>
      </c>
      <c r="H12" s="383">
        <v>63.674799999999998</v>
      </c>
      <c r="I12" s="383">
        <v>71.27</v>
      </c>
      <c r="J12" s="383">
        <v>76.656499999999994</v>
      </c>
      <c r="K12" s="383">
        <v>83.511499999999998</v>
      </c>
      <c r="L12" s="383">
        <v>87.953100000000006</v>
      </c>
      <c r="M12" s="383">
        <v>93.062700000000007</v>
      </c>
      <c r="N12" s="383">
        <v>95.120999999999995</v>
      </c>
      <c r="O12" s="383">
        <v>100.1444</v>
      </c>
      <c r="P12" s="383">
        <v>99.536600000000007</v>
      </c>
      <c r="Q12" s="383">
        <v>111.3</v>
      </c>
      <c r="R12" s="383">
        <v>106.75</v>
      </c>
      <c r="S12" s="383">
        <v>109.59</v>
      </c>
      <c r="T12" s="383">
        <v>118.29</v>
      </c>
      <c r="U12" s="396">
        <v>121.50642568922935</v>
      </c>
      <c r="V12" s="396">
        <v>125.15161845999251</v>
      </c>
      <c r="W12" s="396">
        <v>128.90616701388115</v>
      </c>
      <c r="X12" s="396">
        <v>132.77335202438911</v>
      </c>
      <c r="Y12" s="396">
        <v>136.75655258521508</v>
      </c>
      <c r="Z12" s="396">
        <v>140.85924916286862</v>
      </c>
      <c r="AA12" s="396">
        <v>145.0850266378547</v>
      </c>
      <c r="AB12" s="396">
        <v>149.43757743709344</v>
      </c>
      <c r="AC12" s="396">
        <v>153.92070476031233</v>
      </c>
      <c r="AD12" s="396">
        <v>158.53832590323103</v>
      </c>
      <c r="AE12" s="396">
        <v>163.29447568044051</v>
      </c>
      <c r="AF12" s="396">
        <v>168.19330995096968</v>
      </c>
      <c r="AG12" s="396">
        <v>173.2391092496182</v>
      </c>
      <c r="AH12" s="396">
        <v>178.43628252722976</v>
      </c>
      <c r="AI12" s="396">
        <v>183.78937100317336</v>
      </c>
      <c r="AJ12" s="396">
        <v>189.30305213339909</v>
      </c>
      <c r="AK12" s="396">
        <v>194.98214369753546</v>
      </c>
      <c r="AL12" s="396">
        <v>200.8316080086</v>
      </c>
      <c r="AM12" s="396">
        <v>206.85655624900065</v>
      </c>
      <c r="AN12" s="396">
        <v>213.06225293661754</v>
      </c>
      <c r="AO12" s="396">
        <v>219.45412052486736</v>
      </c>
      <c r="AP12" s="396">
        <v>226.03774414076923</v>
      </c>
      <c r="AQ12" s="396">
        <v>232.81887646515284</v>
      </c>
      <c r="AR12" s="396">
        <v>239.80344275927277</v>
      </c>
      <c r="AS12" s="396">
        <v>246.99754604222122</v>
      </c>
      <c r="AT12" s="396">
        <v>254.40747242366331</v>
      </c>
      <c r="AU12" s="396">
        <v>262.03969659655394</v>
      </c>
      <c r="AV12" s="396">
        <v>269.90088749463666</v>
      </c>
      <c r="AW12" s="396">
        <v>277.99791411966743</v>
      </c>
      <c r="AX12" s="385"/>
    </row>
    <row r="13" spans="1:50" x14ac:dyDescent="0.25">
      <c r="A13" s="383" t="s">
        <v>506</v>
      </c>
      <c r="B13" s="383">
        <v>26.775099999999998</v>
      </c>
      <c r="C13" s="383">
        <v>32.2286</v>
      </c>
      <c r="D13" s="383">
        <v>37.311199999999999</v>
      </c>
      <c r="E13" s="383">
        <v>42.904200000000003</v>
      </c>
      <c r="F13" s="383">
        <v>50.316200000000002</v>
      </c>
      <c r="G13" s="383">
        <v>57.283299999999997</v>
      </c>
      <c r="H13" s="383">
        <v>64.270600000000002</v>
      </c>
      <c r="I13" s="383">
        <v>71.348299999999995</v>
      </c>
      <c r="J13" s="383">
        <v>76.566199999999995</v>
      </c>
      <c r="K13" s="383">
        <v>83.457300000000004</v>
      </c>
      <c r="L13" s="383">
        <v>88.416499999999999</v>
      </c>
      <c r="M13" s="383">
        <v>93.255300000000005</v>
      </c>
      <c r="N13" s="383">
        <v>94.928399999999996</v>
      </c>
      <c r="O13" s="383">
        <v>99.889399999999995</v>
      </c>
      <c r="P13" s="383">
        <v>100.2889</v>
      </c>
      <c r="Q13" s="383">
        <v>111.27</v>
      </c>
      <c r="R13" s="383">
        <v>106.96</v>
      </c>
      <c r="S13" s="383">
        <v>110.87</v>
      </c>
      <c r="T13" s="383">
        <v>118.44</v>
      </c>
      <c r="U13" s="396">
        <v>121.80609331405434</v>
      </c>
      <c r="V13" s="396">
        <v>125.46027611356247</v>
      </c>
      <c r="W13" s="396">
        <v>129.22408439705842</v>
      </c>
      <c r="X13" s="396">
        <v>133.10080692906195</v>
      </c>
      <c r="Y13" s="396">
        <v>137.0938311370283</v>
      </c>
      <c r="Z13" s="396">
        <v>141.20664607123649</v>
      </c>
      <c r="AA13" s="396">
        <v>145.44284545347386</v>
      </c>
      <c r="AB13" s="396">
        <v>149.80613081718144</v>
      </c>
      <c r="AC13" s="396">
        <v>154.30031474180322</v>
      </c>
      <c r="AD13" s="396">
        <v>158.92932418416692</v>
      </c>
      <c r="AE13" s="396">
        <v>163.69720390980476</v>
      </c>
      <c r="AF13" s="396">
        <v>168.60812002721514</v>
      </c>
      <c r="AG13" s="396">
        <v>173.66636362815132</v>
      </c>
      <c r="AH13" s="396">
        <v>178.87635453711917</v>
      </c>
      <c r="AI13" s="396">
        <v>184.24264517335976</v>
      </c>
      <c r="AJ13" s="396">
        <v>189.7699245286914</v>
      </c>
      <c r="AK13" s="396">
        <v>195.46302226468688</v>
      </c>
      <c r="AL13" s="396">
        <v>201.32691293276631</v>
      </c>
      <c r="AM13" s="396">
        <v>207.36672032089228</v>
      </c>
      <c r="AN13" s="396">
        <v>213.58772193066631</v>
      </c>
      <c r="AO13" s="396">
        <v>219.99535358873794</v>
      </c>
      <c r="AP13" s="396">
        <v>226.59521419655633</v>
      </c>
      <c r="AQ13" s="396">
        <v>233.39307062261395</v>
      </c>
      <c r="AR13" s="396">
        <v>240.3948627414581</v>
      </c>
      <c r="AS13" s="396">
        <v>247.60670862387255</v>
      </c>
      <c r="AT13" s="396">
        <v>255.03490988276459</v>
      </c>
      <c r="AU13" s="396">
        <v>262.68595717942873</v>
      </c>
      <c r="AV13" s="396">
        <v>270.56653589499814</v>
      </c>
      <c r="AW13" s="396">
        <v>278.68353197204021</v>
      </c>
      <c r="AX13" s="385"/>
    </row>
    <row r="14" spans="1:50" x14ac:dyDescent="0.25">
      <c r="A14" s="383" t="s">
        <v>507</v>
      </c>
      <c r="B14" s="383">
        <v>26.9557</v>
      </c>
      <c r="C14" s="383">
        <v>32.543799999999997</v>
      </c>
      <c r="D14" s="383">
        <v>37.565600000000003</v>
      </c>
      <c r="E14" s="383">
        <v>43.027299999999997</v>
      </c>
      <c r="F14" s="383">
        <v>50.551000000000002</v>
      </c>
      <c r="G14" s="383">
        <v>57.376899999999999</v>
      </c>
      <c r="H14" s="383">
        <v>64.6678</v>
      </c>
      <c r="I14" s="383">
        <v>71.805700000000002</v>
      </c>
      <c r="J14" s="383">
        <v>76.782899999999998</v>
      </c>
      <c r="K14" s="383">
        <v>83.908699999999996</v>
      </c>
      <c r="L14" s="383">
        <v>88.711399999999998</v>
      </c>
      <c r="M14" s="383">
        <v>92.828000000000003</v>
      </c>
      <c r="N14" s="383">
        <v>94.747799999999998</v>
      </c>
      <c r="O14" s="383">
        <v>99.998099999999994</v>
      </c>
      <c r="P14" s="383">
        <v>101.26990000000001</v>
      </c>
      <c r="Q14" s="383">
        <v>110.38</v>
      </c>
      <c r="R14" s="383">
        <v>107.97</v>
      </c>
      <c r="S14" s="383">
        <v>112.69</v>
      </c>
      <c r="T14" s="383">
        <v>118.55</v>
      </c>
      <c r="U14" s="396">
        <v>122.1065000000842</v>
      </c>
      <c r="V14" s="396">
        <v>125.76969500017344</v>
      </c>
      <c r="W14" s="396">
        <v>129.54278585026793</v>
      </c>
      <c r="X14" s="396">
        <v>133.42906942586797</v>
      </c>
      <c r="Y14" s="396">
        <v>137.43194150873876</v>
      </c>
      <c r="Z14" s="396">
        <v>141.5548997540985</v>
      </c>
      <c r="AA14" s="396">
        <v>145.80154674682197</v>
      </c>
      <c r="AB14" s="396">
        <v>150.17559314933024</v>
      </c>
      <c r="AC14" s="396">
        <v>154.68086094391674</v>
      </c>
      <c r="AD14" s="396">
        <v>159.32128677234411</v>
      </c>
      <c r="AE14" s="396">
        <v>164.10092537562755</v>
      </c>
      <c r="AF14" s="396">
        <v>169.02395313701291</v>
      </c>
      <c r="AG14" s="396">
        <v>174.09467173124332</v>
      </c>
      <c r="AH14" s="396">
        <v>179.31751188330423</v>
      </c>
      <c r="AI14" s="396">
        <v>184.69703723993069</v>
      </c>
      <c r="AJ14" s="396">
        <v>190.23794835725977</v>
      </c>
      <c r="AK14" s="396">
        <v>195.94508680811265</v>
      </c>
      <c r="AL14" s="396">
        <v>201.82343941249519</v>
      </c>
      <c r="AM14" s="396">
        <v>207.87814259501337</v>
      </c>
      <c r="AN14" s="396">
        <v>214.1144868730114</v>
      </c>
      <c r="AO14" s="396">
        <v>220.53792147935377</v>
      </c>
      <c r="AP14" s="396">
        <v>227.15405912389102</v>
      </c>
      <c r="AQ14" s="396">
        <v>233.96868089776908</v>
      </c>
      <c r="AR14" s="396">
        <v>240.98774132486827</v>
      </c>
      <c r="AS14" s="396">
        <v>248.21737356478545</v>
      </c>
      <c r="AT14" s="396">
        <v>255.66389477190532</v>
      </c>
      <c r="AU14" s="396">
        <v>263.33381161524414</v>
      </c>
      <c r="AV14" s="396">
        <v>271.23382596388848</v>
      </c>
      <c r="AW14" s="396">
        <v>279.3708407429977</v>
      </c>
      <c r="AX14" s="385"/>
    </row>
    <row r="15" spans="1:50" x14ac:dyDescent="0.25">
      <c r="A15" s="378"/>
      <c r="B15" s="378"/>
      <c r="C15" s="378"/>
      <c r="D15" s="378"/>
      <c r="E15" s="378"/>
      <c r="F15" s="378"/>
      <c r="G15" s="378"/>
      <c r="H15" s="378"/>
      <c r="I15" s="383"/>
      <c r="J15" s="383"/>
      <c r="K15" s="383"/>
      <c r="L15" s="383"/>
      <c r="M15" s="383"/>
      <c r="N15" s="383"/>
      <c r="O15" s="383"/>
      <c r="P15" s="378"/>
      <c r="Q15" s="378"/>
      <c r="R15" s="378"/>
      <c r="S15" s="378"/>
      <c r="T15" s="378"/>
      <c r="U15" s="378"/>
      <c r="V15" s="378"/>
      <c r="W15" s="378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</row>
    <row r="16" spans="1:50" x14ac:dyDescent="0.25">
      <c r="A16" s="390" t="s">
        <v>124</v>
      </c>
      <c r="B16" s="391"/>
      <c r="C16" s="401">
        <v>0.20730680338481267</v>
      </c>
      <c r="D16" s="401">
        <v>0.15430896207572586</v>
      </c>
      <c r="E16" s="401">
        <v>0.14539099601763295</v>
      </c>
      <c r="F16" s="401">
        <v>0.17485875246645755</v>
      </c>
      <c r="G16" s="401">
        <v>0.13502996973353643</v>
      </c>
      <c r="H16" s="401">
        <v>0.12707030181135615</v>
      </c>
      <c r="I16" s="401">
        <v>0.11037796244808074</v>
      </c>
      <c r="J16" s="401">
        <v>6.9314831552369727E-2</v>
      </c>
      <c r="K16" s="401">
        <v>9.2804517672554709E-2</v>
      </c>
      <c r="L16" s="401">
        <v>5.7237211397626275E-2</v>
      </c>
      <c r="M16" s="401">
        <v>4.6404408001677444E-2</v>
      </c>
      <c r="N16" s="401">
        <v>2.0681259964665744E-2</v>
      </c>
      <c r="O16" s="401">
        <v>5.5413423847308296E-2</v>
      </c>
      <c r="P16" s="401">
        <v>1.2718241646591411E-2</v>
      </c>
      <c r="Q16" s="401">
        <v>8.9958615541241738E-2</v>
      </c>
      <c r="R16" s="401">
        <v>-2.1833665519115697E-2</v>
      </c>
      <c r="S16" s="401">
        <v>4.3715846994535568E-2</v>
      </c>
      <c r="T16" s="401">
        <v>5.2001064868222535E-2</v>
      </c>
      <c r="U16" s="397">
        <v>0.03</v>
      </c>
      <c r="V16" s="397">
        <v>0.03</v>
      </c>
      <c r="W16" s="397">
        <v>0.03</v>
      </c>
      <c r="X16" s="397">
        <v>0.03</v>
      </c>
      <c r="Y16" s="397">
        <v>0.03</v>
      </c>
      <c r="Z16" s="397">
        <v>0.03</v>
      </c>
      <c r="AA16" s="397">
        <v>0.03</v>
      </c>
      <c r="AB16" s="397">
        <v>0.03</v>
      </c>
      <c r="AC16" s="397">
        <v>0.03</v>
      </c>
      <c r="AD16" s="397">
        <v>0.03</v>
      </c>
      <c r="AE16" s="397">
        <v>0.03</v>
      </c>
      <c r="AF16" s="397">
        <v>0.03</v>
      </c>
      <c r="AG16" s="397">
        <v>0.03</v>
      </c>
      <c r="AH16" s="397">
        <v>0.03</v>
      </c>
      <c r="AI16" s="397">
        <v>0.03</v>
      </c>
      <c r="AJ16" s="397">
        <v>0.03</v>
      </c>
      <c r="AK16" s="397">
        <v>0.03</v>
      </c>
      <c r="AL16" s="397">
        <v>0.03</v>
      </c>
      <c r="AM16" s="397">
        <v>0.03</v>
      </c>
      <c r="AN16" s="397">
        <v>0.03</v>
      </c>
      <c r="AO16" s="397">
        <v>0.03</v>
      </c>
      <c r="AP16" s="397">
        <v>0.03</v>
      </c>
      <c r="AQ16" s="397">
        <v>0.03</v>
      </c>
      <c r="AR16" s="397">
        <v>0.03</v>
      </c>
      <c r="AS16" s="397">
        <v>0.03</v>
      </c>
      <c r="AT16" s="397">
        <v>0.03</v>
      </c>
      <c r="AU16" s="397">
        <v>0.03</v>
      </c>
      <c r="AV16" s="397">
        <v>0.03</v>
      </c>
      <c r="AW16" s="397">
        <v>0.03</v>
      </c>
      <c r="AX16" s="392"/>
    </row>
    <row r="17" spans="1:50" x14ac:dyDescent="0.25">
      <c r="A17" s="393"/>
      <c r="B17" s="391"/>
      <c r="C17" s="381"/>
      <c r="D17" s="381"/>
      <c r="E17" s="381"/>
      <c r="F17" s="381"/>
      <c r="G17" s="382"/>
      <c r="H17" s="382"/>
      <c r="I17" s="394"/>
      <c r="J17" s="381"/>
      <c r="K17" s="381"/>
      <c r="L17" s="381"/>
      <c r="M17" s="381"/>
      <c r="N17" s="381"/>
      <c r="O17" s="381"/>
      <c r="P17" s="395">
        <v>1.2718241646591411E-2</v>
      </c>
      <c r="Q17" s="395">
        <v>8.9958615541241738E-2</v>
      </c>
      <c r="R17" s="395">
        <v>-2.1833665519115697E-2</v>
      </c>
      <c r="S17" s="395">
        <v>4.3715846994535568E-2</v>
      </c>
      <c r="T17" s="395">
        <v>5.2001064868222535E-2</v>
      </c>
      <c r="U17" s="395">
        <v>3.0000000000710347E-2</v>
      </c>
      <c r="V17" s="395">
        <v>3.0000000000710125E-2</v>
      </c>
      <c r="W17" s="395">
        <v>3.0000000000709903E-2</v>
      </c>
      <c r="X17" s="395">
        <v>3.0000000000710125E-2</v>
      </c>
      <c r="Y17" s="395">
        <v>3.0000000000710125E-2</v>
      </c>
      <c r="Z17" s="395">
        <v>3.0000000000709903E-2</v>
      </c>
      <c r="AA17" s="395">
        <v>3.0000000000710125E-2</v>
      </c>
      <c r="AB17" s="395">
        <v>3.0000000000710569E-2</v>
      </c>
      <c r="AC17" s="395">
        <v>3.0000000000709903E-2</v>
      </c>
      <c r="AD17" s="395">
        <v>3.0000000000710347E-2</v>
      </c>
      <c r="AE17" s="395">
        <v>3.0000000000710125E-2</v>
      </c>
      <c r="AF17" s="395">
        <v>3.0000000000710125E-2</v>
      </c>
      <c r="AG17" s="395">
        <v>3.0000000000710125E-2</v>
      </c>
      <c r="AH17" s="395">
        <v>3.0000000000710125E-2</v>
      </c>
      <c r="AI17" s="395">
        <v>3.0000000000710125E-2</v>
      </c>
      <c r="AJ17" s="395">
        <v>3.0000000000710125E-2</v>
      </c>
      <c r="AK17" s="395">
        <v>3.0000000000710125E-2</v>
      </c>
      <c r="AL17" s="395">
        <v>3.0000000000710125E-2</v>
      </c>
      <c r="AM17" s="395">
        <v>3.0000000000710125E-2</v>
      </c>
      <c r="AN17" s="395">
        <v>3.0000000000710125E-2</v>
      </c>
      <c r="AO17" s="395">
        <v>3.0000000000710125E-2</v>
      </c>
      <c r="AP17" s="395">
        <v>3.0000000000710125E-2</v>
      </c>
      <c r="AQ17" s="395">
        <v>3.0000000000710125E-2</v>
      </c>
      <c r="AR17" s="395">
        <v>3.0000000000709903E-2</v>
      </c>
      <c r="AS17" s="395">
        <v>3.0000000000710125E-2</v>
      </c>
      <c r="AT17" s="395">
        <v>3.0000000000710347E-2</v>
      </c>
      <c r="AU17" s="395">
        <v>3.0000000000710569E-2</v>
      </c>
      <c r="AV17" s="395">
        <v>3.0000000000710125E-2</v>
      </c>
      <c r="AW17" s="395">
        <v>3.0000000000709903E-2</v>
      </c>
      <c r="AX17" s="395"/>
    </row>
    <row r="18" spans="1:50" x14ac:dyDescent="0.25">
      <c r="A18" s="383" t="s">
        <v>508</v>
      </c>
      <c r="B18" s="378"/>
      <c r="C18" s="378"/>
      <c r="D18" s="378"/>
      <c r="E18" s="378"/>
      <c r="F18" s="388"/>
      <c r="G18" s="388"/>
      <c r="H18" s="378"/>
      <c r="I18" s="378"/>
      <c r="J18" s="378"/>
      <c r="K18" s="378"/>
      <c r="L18" s="378"/>
      <c r="M18" s="378"/>
      <c r="N18" s="384"/>
      <c r="O18" s="386"/>
      <c r="P18" s="378"/>
      <c r="Q18" s="378"/>
      <c r="R18" s="378"/>
      <c r="S18" s="378"/>
      <c r="T18" s="378"/>
      <c r="U18" s="378"/>
      <c r="V18" s="378"/>
      <c r="W18" s="378"/>
      <c r="X18" s="378"/>
      <c r="Y18" s="378"/>
      <c r="Z18" s="378"/>
      <c r="AA18" s="378"/>
      <c r="AB18" s="378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8"/>
      <c r="AP18" s="378"/>
      <c r="AQ18" s="378"/>
      <c r="AR18" s="378"/>
      <c r="AS18" s="378"/>
      <c r="AT18" s="378"/>
      <c r="AU18" s="378"/>
      <c r="AV18" s="386"/>
      <c r="AW18" s="386"/>
      <c r="AX18" s="386"/>
    </row>
    <row r="19" spans="1:50" x14ac:dyDescent="0.25">
      <c r="A19" s="387" t="s">
        <v>509</v>
      </c>
      <c r="B19" s="387"/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9"/>
      <c r="Q19" s="389"/>
      <c r="R19" s="389"/>
      <c r="S19" s="389"/>
      <c r="T19" s="389"/>
      <c r="U19" s="389"/>
      <c r="V19" s="389"/>
      <c r="W19" s="389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</row>
    <row r="20" spans="1:50" x14ac:dyDescent="0.25">
      <c r="A20" s="387"/>
      <c r="B20" s="387"/>
      <c r="C20" s="387"/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  <c r="P20" s="383"/>
      <c r="Q20" s="383"/>
      <c r="R20" s="389"/>
      <c r="S20" s="389"/>
      <c r="T20" s="400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</row>
    <row r="21" spans="1:50" x14ac:dyDescent="0.25">
      <c r="A21" s="387"/>
      <c r="B21" s="387"/>
      <c r="C21" s="387"/>
      <c r="D21" s="387"/>
      <c r="E21" s="387"/>
      <c r="F21" s="387"/>
      <c r="G21" s="387"/>
      <c r="H21" s="387"/>
      <c r="I21" s="387"/>
      <c r="J21" s="387"/>
      <c r="K21" s="387"/>
      <c r="L21" s="387"/>
      <c r="M21" s="387"/>
      <c r="N21" s="387"/>
      <c r="O21" s="387"/>
      <c r="P21" s="383"/>
      <c r="Q21" s="383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</row>
    <row r="22" spans="1:50" x14ac:dyDescent="0.25">
      <c r="A22" s="387"/>
      <c r="B22" s="387"/>
      <c r="C22" s="387"/>
      <c r="D22" s="387"/>
      <c r="E22" s="387"/>
      <c r="F22" s="387"/>
      <c r="G22" s="387"/>
      <c r="H22" s="387"/>
      <c r="I22" s="387"/>
      <c r="J22" s="387"/>
      <c r="K22" s="387"/>
      <c r="L22" s="387"/>
      <c r="M22" s="387"/>
      <c r="N22" s="387"/>
      <c r="O22" s="387"/>
      <c r="P22" s="383"/>
      <c r="Q22" s="383"/>
      <c r="R22" s="389"/>
      <c r="S22" s="39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</row>
    <row r="23" spans="1:50" x14ac:dyDescent="0.25">
      <c r="A23" s="387"/>
      <c r="B23" s="387"/>
      <c r="C23" s="387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3"/>
      <c r="Q23" s="383"/>
      <c r="R23" s="389"/>
      <c r="S23" s="39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</row>
    <row r="24" spans="1:50" x14ac:dyDescent="0.25">
      <c r="A24" s="387"/>
      <c r="B24" s="387"/>
      <c r="C24" s="387"/>
      <c r="D24" s="387"/>
      <c r="E24" s="387"/>
      <c r="F24" s="387"/>
      <c r="G24" s="387"/>
      <c r="H24" s="387"/>
      <c r="I24" s="387"/>
      <c r="J24" s="387"/>
      <c r="K24" s="387"/>
      <c r="L24" s="387"/>
      <c r="M24" s="387"/>
      <c r="N24" s="387"/>
      <c r="O24" s="387"/>
      <c r="P24" s="383"/>
      <c r="Q24" s="383"/>
      <c r="R24" s="389"/>
      <c r="S24" s="39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</row>
    <row r="25" spans="1:50" x14ac:dyDescent="0.25">
      <c r="A25" s="387"/>
      <c r="B25" s="387"/>
      <c r="C25" s="387"/>
      <c r="D25" s="387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87"/>
      <c r="P25" s="383"/>
      <c r="Q25" s="383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</row>
    <row r="26" spans="1:50" x14ac:dyDescent="0.25">
      <c r="A26" s="387"/>
      <c r="B26" s="387"/>
      <c r="C26" s="387"/>
      <c r="D26" s="387"/>
      <c r="E26" s="387"/>
      <c r="F26" s="387"/>
      <c r="G26" s="387"/>
      <c r="H26" s="387"/>
      <c r="I26" s="387"/>
      <c r="J26" s="387"/>
      <c r="K26" s="387"/>
      <c r="L26" s="387"/>
      <c r="M26" s="387"/>
      <c r="N26" s="387"/>
      <c r="O26" s="387"/>
      <c r="P26" s="383"/>
      <c r="Q26" s="383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</row>
    <row r="27" spans="1:50" x14ac:dyDescent="0.25">
      <c r="A27" s="387"/>
      <c r="B27" s="387"/>
      <c r="C27" s="387"/>
      <c r="D27" s="387"/>
      <c r="E27" s="387"/>
      <c r="F27" s="387"/>
      <c r="G27" s="387"/>
      <c r="H27" s="387"/>
      <c r="I27" s="387"/>
      <c r="J27" s="387"/>
      <c r="K27" s="387"/>
      <c r="L27" s="387"/>
      <c r="M27" s="387"/>
      <c r="N27" s="387"/>
      <c r="O27" s="387"/>
      <c r="P27" s="383"/>
      <c r="Q27" s="383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</row>
    <row r="28" spans="1:50" x14ac:dyDescent="0.25">
      <c r="A28" s="387"/>
      <c r="B28" s="387"/>
      <c r="C28" s="387"/>
      <c r="D28" s="387"/>
      <c r="E28" s="387"/>
      <c r="F28" s="387"/>
      <c r="G28" s="387"/>
      <c r="H28" s="387"/>
      <c r="I28" s="387"/>
      <c r="J28" s="387"/>
      <c r="K28" s="387"/>
      <c r="L28" s="387"/>
      <c r="M28" s="387"/>
      <c r="N28" s="387"/>
      <c r="O28" s="387"/>
      <c r="P28" s="383"/>
      <c r="Q28" s="383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</row>
    <row r="29" spans="1:50" x14ac:dyDescent="0.25">
      <c r="A29" s="387"/>
      <c r="B29" s="387"/>
      <c r="C29" s="387"/>
      <c r="D29" s="387"/>
      <c r="E29" s="387"/>
      <c r="F29" s="387"/>
      <c r="G29" s="387"/>
      <c r="H29" s="387"/>
      <c r="I29" s="387"/>
      <c r="J29" s="387"/>
      <c r="K29" s="387"/>
      <c r="L29" s="387"/>
      <c r="M29" s="387"/>
      <c r="N29" s="387"/>
      <c r="O29" s="387"/>
      <c r="P29" s="383"/>
      <c r="Q29" s="383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</row>
    <row r="30" spans="1:50" x14ac:dyDescent="0.25">
      <c r="A30" s="387"/>
      <c r="B30" s="387"/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3"/>
      <c r="Q30" s="383"/>
      <c r="R30" s="389"/>
      <c r="S30" s="389"/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89"/>
    </row>
    <row r="31" spans="1:50" x14ac:dyDescent="0.25">
      <c r="A31" s="387"/>
      <c r="B31" s="387"/>
      <c r="C31" s="387"/>
      <c r="D31" s="387"/>
      <c r="E31" s="387"/>
      <c r="F31" s="387"/>
      <c r="G31" s="387"/>
      <c r="H31" s="387"/>
      <c r="I31" s="387"/>
      <c r="J31" s="387"/>
      <c r="K31" s="387"/>
      <c r="L31" s="387"/>
      <c r="M31" s="387"/>
      <c r="N31" s="387"/>
      <c r="O31" s="387"/>
      <c r="P31" s="383"/>
      <c r="Q31" s="383"/>
      <c r="R31" s="389"/>
      <c r="S31" s="389"/>
      <c r="T31" s="389"/>
      <c r="U31" s="389"/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89"/>
      <c r="AL31" s="389"/>
      <c r="AM31" s="389"/>
      <c r="AN31" s="389"/>
      <c r="AO31" s="389"/>
      <c r="AP31" s="389"/>
      <c r="AQ31" s="389"/>
      <c r="AR31" s="389"/>
      <c r="AS31" s="389"/>
      <c r="AT31" s="389"/>
      <c r="AU31" s="389"/>
      <c r="AV31" s="389"/>
      <c r="AW31" s="389"/>
      <c r="AX31" s="389"/>
    </row>
    <row r="32" spans="1:50" x14ac:dyDescent="0.25">
      <c r="A32" s="387"/>
      <c r="B32" s="387"/>
      <c r="C32" s="387"/>
      <c r="D32" s="387"/>
      <c r="E32" s="387"/>
      <c r="F32" s="387"/>
      <c r="G32" s="387"/>
      <c r="H32" s="387"/>
      <c r="I32" s="387"/>
      <c r="J32" s="387"/>
      <c r="K32" s="387"/>
      <c r="L32" s="387"/>
      <c r="M32" s="387"/>
      <c r="N32" s="387"/>
      <c r="O32" s="387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</row>
    <row r="33" spans="1:50" x14ac:dyDescent="0.25">
      <c r="A33" s="387"/>
      <c r="B33" s="387"/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389"/>
      <c r="AJ33" s="389"/>
      <c r="AK33" s="389"/>
      <c r="AL33" s="389"/>
      <c r="AM33" s="389"/>
      <c r="AN33" s="389"/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</row>
    <row r="34" spans="1:50" x14ac:dyDescent="0.25">
      <c r="A34" s="387"/>
      <c r="B34" s="387"/>
      <c r="C34" s="387"/>
      <c r="D34" s="387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9"/>
      <c r="Q34" s="389"/>
      <c r="R34" s="389"/>
      <c r="S34" s="389"/>
      <c r="T34" s="389"/>
      <c r="U34" s="389"/>
      <c r="V34" s="389"/>
      <c r="W34" s="389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</row>
    <row r="35" spans="1:50" x14ac:dyDescent="0.25">
      <c r="A35" s="387"/>
      <c r="B35" s="387"/>
      <c r="C35" s="387"/>
      <c r="D35" s="387"/>
      <c r="E35" s="387"/>
      <c r="F35" s="387"/>
      <c r="G35" s="387"/>
      <c r="H35" s="387"/>
      <c r="I35" s="387"/>
      <c r="J35" s="387"/>
      <c r="K35" s="387"/>
      <c r="L35" s="387"/>
      <c r="M35" s="387"/>
      <c r="N35" s="387"/>
      <c r="O35" s="387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</row>
    <row r="36" spans="1:50" x14ac:dyDescent="0.25">
      <c r="A36" s="387"/>
      <c r="B36" s="387"/>
      <c r="C36" s="387"/>
      <c r="D36" s="387"/>
      <c r="E36" s="387"/>
      <c r="F36" s="387"/>
      <c r="G36" s="387"/>
      <c r="H36" s="387"/>
      <c r="I36" s="387"/>
      <c r="J36" s="387"/>
      <c r="K36" s="387"/>
      <c r="L36" s="387"/>
      <c r="M36" s="387"/>
      <c r="N36" s="387"/>
      <c r="O36" s="387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  <c r="AL36" s="389"/>
      <c r="AM36" s="389"/>
      <c r="AN36" s="389"/>
      <c r="AO36" s="389"/>
      <c r="AP36" s="389"/>
      <c r="AQ36" s="389"/>
      <c r="AR36" s="389"/>
      <c r="AS36" s="389"/>
      <c r="AT36" s="389"/>
      <c r="AU36" s="389"/>
      <c r="AV36" s="389"/>
      <c r="AW36" s="389"/>
      <c r="AX36" s="389"/>
    </row>
    <row r="37" spans="1:50" x14ac:dyDescent="0.25">
      <c r="A37" s="387"/>
      <c r="B37" s="387"/>
      <c r="C37" s="387"/>
      <c r="D37" s="387"/>
      <c r="E37" s="387"/>
      <c r="F37" s="387"/>
      <c r="G37" s="387"/>
      <c r="H37" s="387"/>
      <c r="I37" s="387"/>
      <c r="J37" s="387"/>
      <c r="K37" s="387"/>
      <c r="L37" s="387"/>
      <c r="M37" s="387"/>
      <c r="N37" s="387"/>
      <c r="O37" s="387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  <c r="AL37" s="389"/>
      <c r="AM37" s="389"/>
      <c r="AN37" s="389"/>
      <c r="AO37" s="389"/>
      <c r="AP37" s="389"/>
      <c r="AQ37" s="389"/>
      <c r="AR37" s="389"/>
      <c r="AS37" s="389"/>
      <c r="AT37" s="389"/>
      <c r="AU37" s="389"/>
      <c r="AV37" s="389"/>
      <c r="AW37" s="389"/>
      <c r="AX37" s="389"/>
    </row>
    <row r="38" spans="1:50" x14ac:dyDescent="0.25">
      <c r="A38" s="387"/>
      <c r="B38" s="387"/>
      <c r="C38" s="387"/>
      <c r="D38" s="387"/>
      <c r="E38" s="387"/>
      <c r="F38" s="387"/>
      <c r="G38" s="387"/>
      <c r="H38" s="387"/>
      <c r="I38" s="387"/>
      <c r="J38" s="387"/>
      <c r="K38" s="387"/>
      <c r="L38" s="387"/>
      <c r="M38" s="387"/>
      <c r="N38" s="387"/>
      <c r="O38" s="387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</row>
    <row r="39" spans="1:50" x14ac:dyDescent="0.25">
      <c r="A39" s="387"/>
      <c r="B39" s="387"/>
      <c r="C39" s="387"/>
      <c r="D39" s="387"/>
      <c r="E39" s="387"/>
      <c r="F39" s="387"/>
      <c r="G39" s="387"/>
      <c r="H39" s="387"/>
      <c r="I39" s="387"/>
      <c r="J39" s="387"/>
      <c r="K39" s="387"/>
      <c r="L39" s="387"/>
      <c r="M39" s="387"/>
      <c r="N39" s="387"/>
      <c r="O39" s="387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</row>
    <row r="40" spans="1:50" x14ac:dyDescent="0.25">
      <c r="A40" s="387"/>
      <c r="B40" s="387"/>
      <c r="C40" s="387"/>
      <c r="D40" s="387"/>
      <c r="E40" s="387"/>
      <c r="F40" s="387"/>
      <c r="G40" s="387"/>
      <c r="H40" s="387"/>
      <c r="I40" s="387"/>
      <c r="J40" s="387"/>
      <c r="K40" s="387"/>
      <c r="L40" s="387"/>
      <c r="M40" s="387"/>
      <c r="N40" s="387"/>
      <c r="O40" s="387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</row>
    <row r="41" spans="1:50" x14ac:dyDescent="0.25">
      <c r="A41" s="387"/>
      <c r="B41" s="387"/>
      <c r="C41" s="387"/>
      <c r="D41" s="387"/>
      <c r="E41" s="387"/>
      <c r="F41" s="387"/>
      <c r="G41" s="387"/>
      <c r="H41" s="387"/>
      <c r="I41" s="387"/>
      <c r="J41" s="387"/>
      <c r="K41" s="387"/>
      <c r="L41" s="387"/>
      <c r="M41" s="387"/>
      <c r="N41" s="387"/>
      <c r="O41" s="387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</row>
    <row r="42" spans="1:50" x14ac:dyDescent="0.25">
      <c r="A42" s="387"/>
      <c r="B42" s="387"/>
      <c r="C42" s="387"/>
      <c r="D42" s="387"/>
      <c r="E42" s="387"/>
      <c r="F42" s="387"/>
      <c r="G42" s="387"/>
      <c r="H42" s="387"/>
      <c r="I42" s="387"/>
      <c r="J42" s="387"/>
      <c r="K42" s="387"/>
      <c r="L42" s="387"/>
      <c r="M42" s="387"/>
      <c r="N42" s="387"/>
      <c r="O42" s="387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  <c r="AP42" s="389"/>
      <c r="AQ42" s="389"/>
      <c r="AR42" s="389"/>
      <c r="AS42" s="389"/>
      <c r="AT42" s="389"/>
      <c r="AU42" s="389"/>
      <c r="AV42" s="389"/>
      <c r="AW42" s="389"/>
      <c r="AX42" s="389"/>
    </row>
    <row r="43" spans="1:50" x14ac:dyDescent="0.25">
      <c r="A43" s="387"/>
      <c r="B43" s="387"/>
      <c r="C43" s="387"/>
      <c r="D43" s="387"/>
      <c r="E43" s="387"/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</row>
    <row r="44" spans="1:50" x14ac:dyDescent="0.25">
      <c r="A44" s="387"/>
      <c r="B44" s="387"/>
      <c r="C44" s="387"/>
      <c r="D44" s="387"/>
      <c r="E44" s="387"/>
      <c r="F44" s="387"/>
      <c r="G44" s="387"/>
      <c r="H44" s="387"/>
      <c r="I44" s="387"/>
      <c r="J44" s="387"/>
      <c r="K44" s="387"/>
      <c r="L44" s="387"/>
      <c r="M44" s="387"/>
      <c r="N44" s="387"/>
      <c r="O44" s="387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</row>
    <row r="45" spans="1:50" x14ac:dyDescent="0.25">
      <c r="A45" s="387"/>
      <c r="B45" s="387"/>
      <c r="C45" s="387"/>
      <c r="D45" s="387"/>
      <c r="E45" s="387"/>
      <c r="F45" s="387"/>
      <c r="G45" s="387"/>
      <c r="H45" s="387"/>
      <c r="I45" s="387"/>
      <c r="J45" s="387"/>
      <c r="K45" s="387"/>
      <c r="L45" s="387"/>
      <c r="M45" s="387"/>
      <c r="N45" s="387"/>
      <c r="O45" s="387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  <c r="AP45" s="389"/>
      <c r="AQ45" s="389"/>
      <c r="AR45" s="389"/>
      <c r="AS45" s="389"/>
      <c r="AT45" s="389"/>
      <c r="AU45" s="389"/>
      <c r="AV45" s="389"/>
      <c r="AW45" s="389"/>
      <c r="AX45" s="389"/>
    </row>
    <row r="46" spans="1:50" x14ac:dyDescent="0.25">
      <c r="A46" s="387"/>
      <c r="B46" s="387"/>
      <c r="C46" s="387"/>
      <c r="D46" s="387"/>
      <c r="E46" s="387"/>
      <c r="F46" s="387"/>
      <c r="G46" s="387"/>
      <c r="H46" s="387"/>
      <c r="I46" s="387"/>
      <c r="J46" s="387"/>
      <c r="K46" s="387"/>
      <c r="L46" s="387"/>
      <c r="M46" s="387"/>
      <c r="N46" s="387"/>
      <c r="O46" s="387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  <c r="AL46" s="389"/>
      <c r="AM46" s="389"/>
      <c r="AN46" s="389"/>
      <c r="AO46" s="389"/>
      <c r="AP46" s="389"/>
      <c r="AQ46" s="389"/>
      <c r="AR46" s="389"/>
      <c r="AS46" s="389"/>
      <c r="AT46" s="389"/>
      <c r="AU46" s="389"/>
      <c r="AV46" s="389"/>
      <c r="AW46" s="389"/>
      <c r="AX46" s="389"/>
    </row>
    <row r="47" spans="1:50" x14ac:dyDescent="0.25">
      <c r="A47" s="387"/>
      <c r="B47" s="387"/>
      <c r="C47" s="387"/>
      <c r="D47" s="387"/>
      <c r="E47" s="387"/>
      <c r="F47" s="387"/>
      <c r="G47" s="387"/>
      <c r="H47" s="387"/>
      <c r="I47" s="387"/>
      <c r="J47" s="387"/>
      <c r="K47" s="387"/>
      <c r="L47" s="387"/>
      <c r="M47" s="387"/>
      <c r="N47" s="387"/>
      <c r="O47" s="387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  <c r="AL47" s="389"/>
      <c r="AM47" s="389"/>
      <c r="AN47" s="389"/>
      <c r="AO47" s="389"/>
      <c r="AP47" s="389"/>
      <c r="AQ47" s="389"/>
      <c r="AR47" s="389"/>
      <c r="AS47" s="389"/>
      <c r="AT47" s="389"/>
      <c r="AU47" s="389"/>
      <c r="AV47" s="389"/>
      <c r="AW47" s="389"/>
      <c r="AX47" s="389"/>
    </row>
    <row r="48" spans="1:50" x14ac:dyDescent="0.25">
      <c r="A48" s="387"/>
      <c r="B48" s="387"/>
      <c r="C48" s="387"/>
      <c r="D48" s="387"/>
      <c r="E48" s="387"/>
      <c r="F48" s="387"/>
      <c r="G48" s="387"/>
      <c r="H48" s="387"/>
      <c r="I48" s="387"/>
      <c r="J48" s="387"/>
      <c r="K48" s="387"/>
      <c r="L48" s="387"/>
      <c r="M48" s="387"/>
      <c r="N48" s="387"/>
      <c r="O48" s="387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  <c r="AL48" s="389"/>
      <c r="AM48" s="389"/>
      <c r="AN48" s="389"/>
      <c r="AO48" s="389"/>
      <c r="AP48" s="389"/>
      <c r="AQ48" s="389"/>
      <c r="AR48" s="389"/>
      <c r="AS48" s="389"/>
      <c r="AT48" s="389"/>
      <c r="AU48" s="389"/>
      <c r="AV48" s="389"/>
      <c r="AW48" s="389"/>
      <c r="AX48" s="389"/>
    </row>
    <row r="49" spans="1:50" x14ac:dyDescent="0.25">
      <c r="A49" s="387"/>
      <c r="B49" s="387"/>
      <c r="C49" s="387"/>
      <c r="D49" s="387"/>
      <c r="E49" s="387"/>
      <c r="F49" s="387"/>
      <c r="G49" s="387"/>
      <c r="H49" s="387"/>
      <c r="I49" s="387"/>
      <c r="J49" s="387"/>
      <c r="K49" s="387"/>
      <c r="L49" s="387"/>
      <c r="M49" s="387"/>
      <c r="N49" s="387"/>
      <c r="O49" s="387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</row>
    <row r="50" spans="1:50" x14ac:dyDescent="0.25">
      <c r="A50" s="387"/>
      <c r="B50" s="387"/>
      <c r="C50" s="387"/>
      <c r="D50" s="387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87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</row>
    <row r="51" spans="1:50" x14ac:dyDescent="0.25">
      <c r="A51" s="387"/>
      <c r="B51" s="387"/>
      <c r="C51" s="387"/>
      <c r="D51" s="387"/>
      <c r="E51" s="387"/>
      <c r="F51" s="387"/>
      <c r="G51" s="387"/>
      <c r="H51" s="387"/>
      <c r="I51" s="387"/>
      <c r="J51" s="387"/>
      <c r="K51" s="387"/>
      <c r="L51" s="387"/>
      <c r="M51" s="387"/>
      <c r="N51" s="387"/>
      <c r="O51" s="387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  <c r="AP51" s="389"/>
      <c r="AQ51" s="389"/>
      <c r="AR51" s="389"/>
      <c r="AS51" s="389"/>
      <c r="AT51" s="389"/>
      <c r="AU51" s="389"/>
      <c r="AV51" s="389"/>
      <c r="AW51" s="389"/>
      <c r="AX51" s="389"/>
    </row>
    <row r="52" spans="1:50" x14ac:dyDescent="0.25">
      <c r="A52" s="387"/>
      <c r="B52" s="387"/>
      <c r="C52" s="387"/>
      <c r="D52" s="387"/>
      <c r="E52" s="387"/>
      <c r="F52" s="387"/>
      <c r="G52" s="387"/>
      <c r="H52" s="387"/>
      <c r="I52" s="387"/>
      <c r="J52" s="387"/>
      <c r="K52" s="387"/>
      <c r="L52" s="387"/>
      <c r="M52" s="387"/>
      <c r="N52" s="387"/>
      <c r="O52" s="387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  <c r="AA52" s="389"/>
      <c r="AB52" s="389"/>
      <c r="AC52" s="389"/>
      <c r="AD52" s="389"/>
      <c r="AE52" s="389"/>
      <c r="AF52" s="389"/>
      <c r="AG52" s="389"/>
      <c r="AH52" s="389"/>
      <c r="AI52" s="389"/>
      <c r="AJ52" s="389"/>
      <c r="AK52" s="389"/>
      <c r="AL52" s="389"/>
      <c r="AM52" s="389"/>
      <c r="AN52" s="389"/>
      <c r="AO52" s="389"/>
      <c r="AP52" s="389"/>
      <c r="AQ52" s="389"/>
      <c r="AR52" s="389"/>
      <c r="AS52" s="389"/>
      <c r="AT52" s="389"/>
      <c r="AU52" s="389"/>
      <c r="AV52" s="389"/>
      <c r="AW52" s="389"/>
      <c r="AX52" s="389"/>
    </row>
    <row r="53" spans="1:50" x14ac:dyDescent="0.25">
      <c r="A53" s="387"/>
      <c r="B53" s="387"/>
      <c r="C53" s="387"/>
      <c r="D53" s="387"/>
      <c r="E53" s="387"/>
      <c r="F53" s="387"/>
      <c r="G53" s="387"/>
      <c r="H53" s="387"/>
      <c r="I53" s="387"/>
      <c r="J53" s="387"/>
      <c r="K53" s="387"/>
      <c r="L53" s="387"/>
      <c r="M53" s="387"/>
      <c r="N53" s="387"/>
      <c r="O53" s="387"/>
      <c r="P53" s="389"/>
      <c r="Q53" s="389"/>
      <c r="R53" s="389"/>
      <c r="S53" s="389"/>
      <c r="T53" s="389"/>
      <c r="U53" s="389"/>
      <c r="V53" s="389"/>
      <c r="W53" s="389"/>
      <c r="X53" s="389"/>
      <c r="Y53" s="389"/>
      <c r="Z53" s="389"/>
      <c r="AA53" s="389"/>
      <c r="AB53" s="389"/>
      <c r="AC53" s="389"/>
      <c r="AD53" s="389"/>
      <c r="AE53" s="389"/>
      <c r="AF53" s="389"/>
      <c r="AG53" s="389"/>
      <c r="AH53" s="389"/>
      <c r="AI53" s="389"/>
      <c r="AJ53" s="389"/>
      <c r="AK53" s="389"/>
      <c r="AL53" s="389"/>
      <c r="AM53" s="389"/>
      <c r="AN53" s="389"/>
      <c r="AO53" s="389"/>
      <c r="AP53" s="389"/>
      <c r="AQ53" s="389"/>
      <c r="AR53" s="389"/>
      <c r="AS53" s="389"/>
      <c r="AT53" s="389"/>
      <c r="AU53" s="389"/>
      <c r="AV53" s="389"/>
      <c r="AW53" s="389"/>
      <c r="AX53" s="389"/>
    </row>
    <row r="54" spans="1:50" x14ac:dyDescent="0.25">
      <c r="A54" s="387"/>
      <c r="B54" s="387"/>
      <c r="C54" s="387"/>
      <c r="D54" s="387"/>
      <c r="E54" s="387"/>
      <c r="F54" s="387"/>
      <c r="G54" s="387"/>
      <c r="H54" s="387"/>
      <c r="I54" s="387"/>
      <c r="J54" s="387"/>
      <c r="K54" s="387"/>
      <c r="L54" s="387"/>
      <c r="M54" s="387"/>
      <c r="N54" s="387"/>
      <c r="O54" s="387"/>
      <c r="P54" s="389"/>
      <c r="Q54" s="389"/>
      <c r="R54" s="389"/>
      <c r="S54" s="389"/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</row>
    <row r="55" spans="1:50" x14ac:dyDescent="0.25">
      <c r="A55" s="387"/>
      <c r="B55" s="387"/>
      <c r="C55" s="387"/>
      <c r="D55" s="387"/>
      <c r="E55" s="387"/>
      <c r="F55" s="387"/>
      <c r="G55" s="387"/>
      <c r="H55" s="387"/>
      <c r="I55" s="387"/>
      <c r="J55" s="387"/>
      <c r="K55" s="387"/>
      <c r="L55" s="387"/>
      <c r="M55" s="387"/>
      <c r="N55" s="387"/>
      <c r="O55" s="387"/>
      <c r="P55" s="389"/>
      <c r="Q55" s="389"/>
      <c r="R55" s="389"/>
      <c r="S55" s="389"/>
      <c r="T55" s="389"/>
      <c r="U55" s="389"/>
      <c r="V55" s="389"/>
      <c r="W55" s="389"/>
      <c r="X55" s="389"/>
      <c r="Y55" s="389"/>
      <c r="Z55" s="389"/>
      <c r="AA55" s="389"/>
      <c r="AB55" s="389"/>
      <c r="AC55" s="389"/>
      <c r="AD55" s="389"/>
      <c r="AE55" s="389"/>
      <c r="AF55" s="389"/>
      <c r="AG55" s="389"/>
      <c r="AH55" s="389"/>
      <c r="AI55" s="389"/>
      <c r="AJ55" s="389"/>
      <c r="AK55" s="389"/>
      <c r="AL55" s="389"/>
      <c r="AM55" s="389"/>
      <c r="AN55" s="389"/>
      <c r="AO55" s="389"/>
      <c r="AP55" s="389"/>
      <c r="AQ55" s="389"/>
      <c r="AR55" s="389"/>
      <c r="AS55" s="389"/>
      <c r="AT55" s="389"/>
      <c r="AU55" s="389"/>
      <c r="AV55" s="389"/>
      <c r="AW55" s="389"/>
      <c r="AX55" s="389"/>
    </row>
    <row r="56" spans="1:50" x14ac:dyDescent="0.25">
      <c r="A56" s="387"/>
      <c r="B56" s="387"/>
      <c r="C56" s="387"/>
      <c r="D56" s="387"/>
      <c r="E56" s="387"/>
      <c r="F56" s="387"/>
      <c r="G56" s="387"/>
      <c r="H56" s="387"/>
      <c r="I56" s="387"/>
      <c r="J56" s="387"/>
      <c r="K56" s="387"/>
      <c r="L56" s="387"/>
      <c r="M56" s="387"/>
      <c r="N56" s="387"/>
      <c r="O56" s="387"/>
      <c r="P56" s="389"/>
      <c r="Q56" s="389"/>
      <c r="R56" s="389"/>
      <c r="S56" s="389"/>
      <c r="T56" s="389"/>
      <c r="U56" s="389"/>
      <c r="V56" s="389"/>
      <c r="W56" s="389"/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  <c r="AL56" s="389"/>
      <c r="AM56" s="389"/>
      <c r="AN56" s="389"/>
      <c r="AO56" s="389"/>
      <c r="AP56" s="389"/>
      <c r="AQ56" s="389"/>
      <c r="AR56" s="389"/>
      <c r="AS56" s="389"/>
      <c r="AT56" s="389"/>
      <c r="AU56" s="389"/>
      <c r="AV56" s="389"/>
      <c r="AW56" s="389"/>
      <c r="AX56" s="389"/>
    </row>
    <row r="57" spans="1:50" x14ac:dyDescent="0.25">
      <c r="A57" s="387"/>
      <c r="B57" s="387"/>
      <c r="C57" s="387"/>
      <c r="D57" s="387"/>
      <c r="E57" s="387"/>
      <c r="F57" s="387"/>
      <c r="G57" s="387"/>
      <c r="H57" s="387"/>
      <c r="I57" s="387"/>
      <c r="J57" s="387"/>
      <c r="K57" s="387"/>
      <c r="L57" s="387"/>
      <c r="M57" s="387"/>
      <c r="N57" s="387"/>
      <c r="O57" s="387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89"/>
      <c r="AE57" s="389"/>
      <c r="AF57" s="389"/>
      <c r="AG57" s="389"/>
      <c r="AH57" s="389"/>
      <c r="AI57" s="389"/>
      <c r="AJ57" s="389"/>
      <c r="AK57" s="389"/>
      <c r="AL57" s="389"/>
      <c r="AM57" s="389"/>
      <c r="AN57" s="389"/>
      <c r="AO57" s="389"/>
      <c r="AP57" s="389"/>
      <c r="AQ57" s="389"/>
      <c r="AR57" s="389"/>
      <c r="AS57" s="389"/>
      <c r="AT57" s="389"/>
      <c r="AU57" s="389"/>
      <c r="AV57" s="389"/>
      <c r="AW57" s="389"/>
      <c r="AX57" s="389"/>
    </row>
    <row r="58" spans="1:50" x14ac:dyDescent="0.25">
      <c r="A58" s="387"/>
      <c r="B58" s="387"/>
      <c r="C58" s="387"/>
      <c r="D58" s="387"/>
      <c r="E58" s="387"/>
      <c r="F58" s="387"/>
      <c r="G58" s="387"/>
      <c r="H58" s="387"/>
      <c r="I58" s="387"/>
      <c r="J58" s="387"/>
      <c r="K58" s="387"/>
      <c r="L58" s="387"/>
      <c r="M58" s="387"/>
      <c r="N58" s="387"/>
      <c r="O58" s="387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  <c r="AP58" s="389"/>
      <c r="AQ58" s="389"/>
      <c r="AR58" s="389"/>
      <c r="AS58" s="389"/>
      <c r="AT58" s="389"/>
      <c r="AU58" s="389"/>
      <c r="AV58" s="389"/>
      <c r="AW58" s="389"/>
      <c r="AX58" s="389"/>
    </row>
    <row r="59" spans="1:50" x14ac:dyDescent="0.25">
      <c r="A59" s="387"/>
      <c r="B59" s="387"/>
      <c r="C59" s="387"/>
      <c r="D59" s="387"/>
      <c r="E59" s="387"/>
      <c r="F59" s="387"/>
      <c r="G59" s="387"/>
      <c r="H59" s="387"/>
      <c r="I59" s="387"/>
      <c r="J59" s="387"/>
      <c r="K59" s="387"/>
      <c r="L59" s="387"/>
      <c r="M59" s="387"/>
      <c r="N59" s="387"/>
      <c r="O59" s="387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</row>
    <row r="60" spans="1:50" x14ac:dyDescent="0.25">
      <c r="A60" s="387"/>
      <c r="B60" s="387"/>
      <c r="C60" s="387"/>
      <c r="D60" s="387"/>
      <c r="E60" s="387"/>
      <c r="F60" s="387"/>
      <c r="G60" s="387"/>
      <c r="H60" s="387"/>
      <c r="I60" s="387"/>
      <c r="J60" s="387"/>
      <c r="K60" s="387"/>
      <c r="L60" s="387"/>
      <c r="M60" s="387"/>
      <c r="N60" s="387"/>
      <c r="O60" s="387"/>
      <c r="P60" s="389"/>
      <c r="Q60" s="389"/>
      <c r="R60" s="389"/>
      <c r="S60" s="389"/>
      <c r="T60" s="389"/>
      <c r="U60" s="389"/>
      <c r="V60" s="389"/>
      <c r="W60" s="389"/>
      <c r="X60" s="389"/>
      <c r="Y60" s="389"/>
      <c r="Z60" s="389"/>
      <c r="AA60" s="389"/>
      <c r="AB60" s="389"/>
      <c r="AC60" s="389"/>
      <c r="AD60" s="389"/>
      <c r="AE60" s="389"/>
      <c r="AF60" s="389"/>
      <c r="AG60" s="389"/>
      <c r="AH60" s="389"/>
      <c r="AI60" s="389"/>
      <c r="AJ60" s="389"/>
      <c r="AK60" s="389"/>
      <c r="AL60" s="389"/>
      <c r="AM60" s="389"/>
      <c r="AN60" s="389"/>
      <c r="AO60" s="389"/>
      <c r="AP60" s="389"/>
      <c r="AQ60" s="389"/>
      <c r="AR60" s="389"/>
      <c r="AS60" s="389"/>
      <c r="AT60" s="389"/>
      <c r="AU60" s="389"/>
      <c r="AV60" s="389"/>
      <c r="AW60" s="389"/>
      <c r="AX60" s="389"/>
    </row>
    <row r="61" spans="1:50" x14ac:dyDescent="0.25">
      <c r="A61" s="387"/>
      <c r="B61" s="387"/>
      <c r="C61" s="387"/>
      <c r="D61" s="387"/>
      <c r="E61" s="387"/>
      <c r="F61" s="387"/>
      <c r="G61" s="387"/>
      <c r="H61" s="387"/>
      <c r="I61" s="387"/>
      <c r="J61" s="387"/>
      <c r="K61" s="387"/>
      <c r="L61" s="387"/>
      <c r="M61" s="387"/>
      <c r="N61" s="387"/>
      <c r="O61" s="387"/>
      <c r="P61" s="389"/>
      <c r="Q61" s="389"/>
      <c r="R61" s="389"/>
      <c r="S61" s="389"/>
      <c r="T61" s="389"/>
      <c r="U61" s="389"/>
      <c r="V61" s="389"/>
      <c r="W61" s="389"/>
      <c r="X61" s="389"/>
      <c r="Y61" s="389"/>
      <c r="Z61" s="389"/>
      <c r="AA61" s="389"/>
      <c r="AB61" s="389"/>
      <c r="AC61" s="389"/>
      <c r="AD61" s="389"/>
      <c r="AE61" s="389"/>
      <c r="AF61" s="389"/>
      <c r="AG61" s="389"/>
      <c r="AH61" s="389"/>
      <c r="AI61" s="389"/>
      <c r="AJ61" s="389"/>
      <c r="AK61" s="389"/>
      <c r="AL61" s="389"/>
      <c r="AM61" s="389"/>
      <c r="AN61" s="389"/>
      <c r="AO61" s="389"/>
      <c r="AP61" s="389"/>
      <c r="AQ61" s="389"/>
      <c r="AR61" s="389"/>
      <c r="AS61" s="389"/>
      <c r="AT61" s="389"/>
      <c r="AU61" s="389"/>
      <c r="AV61" s="389"/>
      <c r="AW61" s="389"/>
      <c r="AX61" s="389"/>
    </row>
    <row r="62" spans="1:50" x14ac:dyDescent="0.25">
      <c r="A62" s="387"/>
      <c r="B62" s="387"/>
      <c r="C62" s="387"/>
      <c r="D62" s="387"/>
      <c r="E62" s="387"/>
      <c r="F62" s="387"/>
      <c r="G62" s="387"/>
      <c r="H62" s="387"/>
      <c r="I62" s="387"/>
      <c r="J62" s="387"/>
      <c r="K62" s="387"/>
      <c r="L62" s="387"/>
      <c r="M62" s="387"/>
      <c r="N62" s="387"/>
      <c r="O62" s="387"/>
      <c r="P62" s="389"/>
      <c r="Q62" s="389"/>
      <c r="R62" s="389"/>
      <c r="S62" s="389"/>
      <c r="T62" s="389"/>
      <c r="U62" s="389"/>
      <c r="V62" s="389"/>
      <c r="W62" s="389"/>
      <c r="X62" s="389"/>
      <c r="Y62" s="389"/>
      <c r="Z62" s="389"/>
      <c r="AA62" s="389"/>
      <c r="AB62" s="389"/>
      <c r="AC62" s="389"/>
      <c r="AD62" s="389"/>
      <c r="AE62" s="389"/>
      <c r="AF62" s="389"/>
      <c r="AG62" s="389"/>
      <c r="AH62" s="389"/>
      <c r="AI62" s="389"/>
      <c r="AJ62" s="389"/>
      <c r="AK62" s="389"/>
      <c r="AL62" s="389"/>
      <c r="AM62" s="389"/>
      <c r="AN62" s="389"/>
      <c r="AO62" s="389"/>
      <c r="AP62" s="389"/>
      <c r="AQ62" s="389"/>
      <c r="AR62" s="389"/>
      <c r="AS62" s="389"/>
      <c r="AT62" s="389"/>
      <c r="AU62" s="389"/>
      <c r="AV62" s="389"/>
      <c r="AW62" s="389"/>
      <c r="AX62" s="389"/>
    </row>
    <row r="63" spans="1:50" x14ac:dyDescent="0.25">
      <c r="A63" s="387"/>
      <c r="B63" s="387"/>
      <c r="C63" s="387"/>
      <c r="D63" s="387"/>
      <c r="E63" s="387"/>
      <c r="F63" s="387"/>
      <c r="G63" s="387"/>
      <c r="H63" s="387"/>
      <c r="I63" s="387"/>
      <c r="J63" s="387"/>
      <c r="K63" s="387"/>
      <c r="L63" s="387"/>
      <c r="M63" s="387"/>
      <c r="N63" s="387"/>
      <c r="O63" s="387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89"/>
      <c r="AB63" s="389"/>
      <c r="AC63" s="389"/>
      <c r="AD63" s="389"/>
      <c r="AE63" s="389"/>
      <c r="AF63" s="389"/>
      <c r="AG63" s="389"/>
      <c r="AH63" s="389"/>
      <c r="AI63" s="389"/>
      <c r="AJ63" s="389"/>
      <c r="AK63" s="389"/>
      <c r="AL63" s="389"/>
      <c r="AM63" s="389"/>
      <c r="AN63" s="389"/>
      <c r="AO63" s="389"/>
      <c r="AP63" s="389"/>
      <c r="AQ63" s="389"/>
      <c r="AR63" s="389"/>
      <c r="AS63" s="389"/>
      <c r="AT63" s="389"/>
      <c r="AU63" s="389"/>
      <c r="AV63" s="389"/>
      <c r="AW63" s="389"/>
      <c r="AX63" s="389"/>
    </row>
    <row r="64" spans="1:50" x14ac:dyDescent="0.25">
      <c r="A64" s="387"/>
      <c r="B64" s="387"/>
      <c r="C64" s="387"/>
      <c r="D64" s="387"/>
      <c r="E64" s="387"/>
      <c r="F64" s="387"/>
      <c r="G64" s="387"/>
      <c r="H64" s="387"/>
      <c r="I64" s="387"/>
      <c r="J64" s="387"/>
      <c r="K64" s="387"/>
      <c r="L64" s="387"/>
      <c r="M64" s="387"/>
      <c r="N64" s="387"/>
      <c r="O64" s="387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</row>
    <row r="65" spans="1:50" x14ac:dyDescent="0.25">
      <c r="A65" s="387"/>
      <c r="B65" s="387"/>
      <c r="C65" s="387"/>
      <c r="D65" s="387"/>
      <c r="E65" s="387"/>
      <c r="F65" s="387"/>
      <c r="G65" s="387"/>
      <c r="H65" s="387"/>
      <c r="I65" s="387"/>
      <c r="J65" s="387"/>
      <c r="K65" s="387"/>
      <c r="L65" s="387"/>
      <c r="M65" s="387"/>
      <c r="N65" s="387"/>
      <c r="O65" s="387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89"/>
      <c r="AE65" s="389"/>
      <c r="AF65" s="389"/>
      <c r="AG65" s="389"/>
      <c r="AH65" s="389"/>
      <c r="AI65" s="389"/>
      <c r="AJ65" s="389"/>
      <c r="AK65" s="389"/>
      <c r="AL65" s="389"/>
      <c r="AM65" s="389"/>
      <c r="AN65" s="389"/>
      <c r="AO65" s="389"/>
      <c r="AP65" s="389"/>
      <c r="AQ65" s="389"/>
      <c r="AR65" s="389"/>
      <c r="AS65" s="389"/>
      <c r="AT65" s="389"/>
      <c r="AU65" s="389"/>
      <c r="AV65" s="389"/>
      <c r="AW65" s="389"/>
      <c r="AX65" s="389"/>
    </row>
    <row r="66" spans="1:50" x14ac:dyDescent="0.25">
      <c r="A66" s="387"/>
      <c r="B66" s="387"/>
      <c r="C66" s="387"/>
      <c r="D66" s="387"/>
      <c r="E66" s="387"/>
      <c r="F66" s="387"/>
      <c r="G66" s="387"/>
      <c r="H66" s="387"/>
      <c r="I66" s="387"/>
      <c r="J66" s="387"/>
      <c r="K66" s="387"/>
      <c r="L66" s="387"/>
      <c r="M66" s="387"/>
      <c r="N66" s="387"/>
      <c r="O66" s="387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  <c r="AL66" s="389"/>
      <c r="AM66" s="389"/>
      <c r="AN66" s="389"/>
      <c r="AO66" s="389"/>
      <c r="AP66" s="389"/>
      <c r="AQ66" s="389"/>
      <c r="AR66" s="389"/>
      <c r="AS66" s="389"/>
      <c r="AT66" s="389"/>
      <c r="AU66" s="389"/>
      <c r="AV66" s="389"/>
      <c r="AW66" s="389"/>
      <c r="AX66" s="389"/>
    </row>
    <row r="67" spans="1:50" x14ac:dyDescent="0.25">
      <c r="A67" s="387"/>
      <c r="B67" s="387"/>
      <c r="C67" s="387"/>
      <c r="D67" s="387"/>
      <c r="E67" s="387"/>
      <c r="F67" s="387"/>
      <c r="G67" s="387"/>
      <c r="H67" s="387"/>
      <c r="I67" s="387"/>
      <c r="J67" s="387"/>
      <c r="K67" s="387"/>
      <c r="L67" s="387"/>
      <c r="M67" s="387"/>
      <c r="N67" s="387"/>
      <c r="O67" s="387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/>
      <c r="AE67" s="389"/>
      <c r="AF67" s="389"/>
      <c r="AG67" s="389"/>
      <c r="AH67" s="389"/>
      <c r="AI67" s="389"/>
      <c r="AJ67" s="389"/>
      <c r="AK67" s="389"/>
      <c r="AL67" s="389"/>
      <c r="AM67" s="389"/>
      <c r="AN67" s="389"/>
      <c r="AO67" s="389"/>
      <c r="AP67" s="389"/>
      <c r="AQ67" s="389"/>
      <c r="AR67" s="389"/>
      <c r="AS67" s="389"/>
      <c r="AT67" s="389"/>
      <c r="AU67" s="389"/>
      <c r="AV67" s="389"/>
      <c r="AW67" s="389"/>
      <c r="AX67" s="389"/>
    </row>
    <row r="68" spans="1:50" x14ac:dyDescent="0.25">
      <c r="A68" s="387"/>
      <c r="B68" s="387"/>
      <c r="C68" s="387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387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  <c r="AL68" s="389"/>
      <c r="AM68" s="389"/>
      <c r="AN68" s="389"/>
      <c r="AO68" s="389"/>
      <c r="AP68" s="389"/>
      <c r="AQ68" s="389"/>
      <c r="AR68" s="389"/>
      <c r="AS68" s="389"/>
      <c r="AT68" s="389"/>
      <c r="AU68" s="389"/>
      <c r="AV68" s="389"/>
      <c r="AW68" s="389"/>
      <c r="AX68" s="389"/>
    </row>
    <row r="69" spans="1:50" x14ac:dyDescent="0.25">
      <c r="A69" s="387"/>
      <c r="B69" s="387"/>
      <c r="C69" s="387"/>
      <c r="D69" s="387"/>
      <c r="E69" s="387"/>
      <c r="F69" s="387"/>
      <c r="G69" s="387"/>
      <c r="H69" s="387"/>
      <c r="I69" s="387"/>
      <c r="J69" s="387"/>
      <c r="K69" s="387"/>
      <c r="L69" s="387"/>
      <c r="M69" s="387"/>
      <c r="N69" s="387"/>
      <c r="O69" s="387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</row>
    <row r="70" spans="1:50" x14ac:dyDescent="0.25">
      <c r="A70" s="387"/>
      <c r="B70" s="387"/>
      <c r="C70" s="387"/>
      <c r="D70" s="387"/>
      <c r="E70" s="387"/>
      <c r="F70" s="387"/>
      <c r="G70" s="387"/>
      <c r="H70" s="387"/>
      <c r="I70" s="387"/>
      <c r="J70" s="387"/>
      <c r="K70" s="387"/>
      <c r="L70" s="387"/>
      <c r="M70" s="387"/>
      <c r="N70" s="387"/>
      <c r="O70" s="387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  <c r="AA70" s="389"/>
      <c r="AB70" s="389"/>
      <c r="AC70" s="389"/>
      <c r="AD70" s="389"/>
      <c r="AE70" s="389"/>
      <c r="AF70" s="389"/>
      <c r="AG70" s="389"/>
      <c r="AH70" s="389"/>
      <c r="AI70" s="389"/>
      <c r="AJ70" s="389"/>
      <c r="AK70" s="389"/>
      <c r="AL70" s="389"/>
      <c r="AM70" s="389"/>
      <c r="AN70" s="389"/>
      <c r="AO70" s="389"/>
      <c r="AP70" s="389"/>
      <c r="AQ70" s="389"/>
      <c r="AR70" s="389"/>
      <c r="AS70" s="389"/>
      <c r="AT70" s="389"/>
      <c r="AU70" s="389"/>
      <c r="AV70" s="389"/>
      <c r="AW70" s="389"/>
      <c r="AX70" s="389"/>
    </row>
    <row r="71" spans="1:50" x14ac:dyDescent="0.25">
      <c r="A71" s="387"/>
      <c r="B71" s="387"/>
      <c r="C71" s="387"/>
      <c r="D71" s="387"/>
      <c r="E71" s="387"/>
      <c r="F71" s="387"/>
      <c r="G71" s="387"/>
      <c r="H71" s="387"/>
      <c r="I71" s="387"/>
      <c r="J71" s="387"/>
      <c r="K71" s="387"/>
      <c r="L71" s="387"/>
      <c r="M71" s="387"/>
      <c r="N71" s="387"/>
      <c r="O71" s="387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89"/>
      <c r="AB71" s="389"/>
      <c r="AC71" s="389"/>
      <c r="AD71" s="389"/>
      <c r="AE71" s="389"/>
      <c r="AF71" s="389"/>
      <c r="AG71" s="389"/>
      <c r="AH71" s="389"/>
      <c r="AI71" s="389"/>
      <c r="AJ71" s="389"/>
      <c r="AK71" s="389"/>
      <c r="AL71" s="389"/>
      <c r="AM71" s="389"/>
      <c r="AN71" s="389"/>
      <c r="AO71" s="389"/>
      <c r="AP71" s="389"/>
      <c r="AQ71" s="389"/>
      <c r="AR71" s="389"/>
      <c r="AS71" s="389"/>
      <c r="AT71" s="389"/>
      <c r="AU71" s="389"/>
      <c r="AV71" s="389"/>
      <c r="AW71" s="389"/>
      <c r="AX71" s="389"/>
    </row>
    <row r="72" spans="1:50" x14ac:dyDescent="0.25">
      <c r="A72" s="387"/>
      <c r="B72" s="387"/>
      <c r="C72" s="387"/>
      <c r="D72" s="387"/>
      <c r="E72" s="387"/>
      <c r="F72" s="387"/>
      <c r="G72" s="387"/>
      <c r="H72" s="387"/>
      <c r="I72" s="387"/>
      <c r="J72" s="387"/>
      <c r="K72" s="387"/>
      <c r="L72" s="387"/>
      <c r="M72" s="387"/>
      <c r="N72" s="387"/>
      <c r="O72" s="387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  <c r="AL72" s="389"/>
      <c r="AM72" s="389"/>
      <c r="AN72" s="389"/>
      <c r="AO72" s="389"/>
      <c r="AP72" s="389"/>
      <c r="AQ72" s="389"/>
      <c r="AR72" s="389"/>
      <c r="AS72" s="389"/>
      <c r="AT72" s="389"/>
      <c r="AU72" s="389"/>
      <c r="AV72" s="389"/>
      <c r="AW72" s="389"/>
      <c r="AX72" s="389"/>
    </row>
    <row r="73" spans="1:50" x14ac:dyDescent="0.25">
      <c r="A73" s="387"/>
      <c r="B73" s="387"/>
      <c r="C73" s="387"/>
      <c r="D73" s="387"/>
      <c r="E73" s="387"/>
      <c r="F73" s="387"/>
      <c r="G73" s="387"/>
      <c r="H73" s="387"/>
      <c r="I73" s="387"/>
      <c r="J73" s="387"/>
      <c r="K73" s="387"/>
      <c r="L73" s="387"/>
      <c r="M73" s="387"/>
      <c r="N73" s="387"/>
      <c r="O73" s="387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89"/>
      <c r="AI73" s="389"/>
      <c r="AJ73" s="389"/>
      <c r="AK73" s="389"/>
      <c r="AL73" s="389"/>
      <c r="AM73" s="389"/>
      <c r="AN73" s="389"/>
      <c r="AO73" s="389"/>
      <c r="AP73" s="389"/>
      <c r="AQ73" s="389"/>
      <c r="AR73" s="389"/>
      <c r="AS73" s="389"/>
      <c r="AT73" s="389"/>
      <c r="AU73" s="389"/>
      <c r="AV73" s="389"/>
      <c r="AW73" s="389"/>
      <c r="AX73" s="389"/>
    </row>
    <row r="74" spans="1:50" x14ac:dyDescent="0.25">
      <c r="A74" s="387"/>
      <c r="B74" s="387"/>
      <c r="C74" s="387"/>
      <c r="D74" s="387"/>
      <c r="E74" s="387"/>
      <c r="F74" s="387"/>
      <c r="G74" s="387"/>
      <c r="H74" s="387"/>
      <c r="I74" s="387"/>
      <c r="J74" s="387"/>
      <c r="K74" s="387"/>
      <c r="L74" s="387"/>
      <c r="M74" s="387"/>
      <c r="N74" s="387"/>
      <c r="O74" s="387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</row>
    <row r="75" spans="1:50" x14ac:dyDescent="0.25">
      <c r="A75" s="387"/>
      <c r="B75" s="387"/>
      <c r="C75" s="387"/>
      <c r="D75" s="387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87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89"/>
      <c r="AL75" s="389"/>
      <c r="AM75" s="389"/>
      <c r="AN75" s="389"/>
      <c r="AO75" s="389"/>
      <c r="AP75" s="389"/>
      <c r="AQ75" s="389"/>
      <c r="AR75" s="389"/>
      <c r="AS75" s="389"/>
      <c r="AT75" s="389"/>
      <c r="AU75" s="389"/>
      <c r="AV75" s="389"/>
      <c r="AW75" s="389"/>
      <c r="AX75" s="389"/>
    </row>
    <row r="76" spans="1:50" x14ac:dyDescent="0.25">
      <c r="A76" s="387"/>
      <c r="B76" s="387"/>
      <c r="C76" s="387"/>
      <c r="D76" s="387"/>
      <c r="E76" s="387"/>
      <c r="F76" s="387"/>
      <c r="G76" s="387"/>
      <c r="H76" s="387"/>
      <c r="I76" s="387"/>
      <c r="J76" s="387"/>
      <c r="K76" s="387"/>
      <c r="L76" s="387"/>
      <c r="M76" s="387"/>
      <c r="N76" s="387"/>
      <c r="O76" s="387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89"/>
      <c r="AL76" s="389"/>
      <c r="AM76" s="389"/>
      <c r="AN76" s="389"/>
      <c r="AO76" s="389"/>
      <c r="AP76" s="389"/>
      <c r="AQ76" s="389"/>
      <c r="AR76" s="389"/>
      <c r="AS76" s="389"/>
      <c r="AT76" s="389"/>
      <c r="AU76" s="389"/>
      <c r="AV76" s="389"/>
      <c r="AW76" s="389"/>
      <c r="AX76" s="389"/>
    </row>
    <row r="77" spans="1:50" x14ac:dyDescent="0.25">
      <c r="A77" s="387"/>
      <c r="B77" s="387"/>
      <c r="C77" s="387"/>
      <c r="D77" s="387"/>
      <c r="E77" s="387"/>
      <c r="F77" s="387"/>
      <c r="G77" s="387"/>
      <c r="H77" s="387"/>
      <c r="I77" s="387"/>
      <c r="J77" s="387"/>
      <c r="K77" s="387"/>
      <c r="L77" s="387"/>
      <c r="M77" s="387"/>
      <c r="N77" s="387"/>
      <c r="O77" s="387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89"/>
      <c r="AL77" s="389"/>
      <c r="AM77" s="389"/>
      <c r="AN77" s="389"/>
      <c r="AO77" s="389"/>
      <c r="AP77" s="389"/>
      <c r="AQ77" s="389"/>
      <c r="AR77" s="389"/>
      <c r="AS77" s="389"/>
      <c r="AT77" s="389"/>
      <c r="AU77" s="389"/>
      <c r="AV77" s="389"/>
      <c r="AW77" s="389"/>
      <c r="AX77" s="389"/>
    </row>
    <row r="78" spans="1:50" x14ac:dyDescent="0.25">
      <c r="A78" s="387"/>
      <c r="B78" s="387"/>
      <c r="C78" s="387"/>
      <c r="D78" s="387"/>
      <c r="E78" s="387"/>
      <c r="F78" s="387"/>
      <c r="G78" s="387"/>
      <c r="H78" s="387"/>
      <c r="I78" s="387"/>
      <c r="J78" s="387"/>
      <c r="K78" s="387"/>
      <c r="L78" s="387"/>
      <c r="M78" s="387"/>
      <c r="N78" s="387"/>
      <c r="O78" s="387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89"/>
      <c r="AL78" s="389"/>
      <c r="AM78" s="389"/>
      <c r="AN78" s="389"/>
      <c r="AO78" s="389"/>
      <c r="AP78" s="389"/>
      <c r="AQ78" s="389"/>
      <c r="AR78" s="389"/>
      <c r="AS78" s="389"/>
      <c r="AT78" s="389"/>
      <c r="AU78" s="389"/>
      <c r="AV78" s="389"/>
      <c r="AW78" s="389"/>
      <c r="AX78" s="389"/>
    </row>
    <row r="79" spans="1:50" x14ac:dyDescent="0.25">
      <c r="A79" s="387"/>
      <c r="B79" s="387"/>
      <c r="C79" s="387"/>
      <c r="D79" s="387"/>
      <c r="E79" s="387"/>
      <c r="F79" s="387"/>
      <c r="G79" s="387"/>
      <c r="H79" s="387"/>
      <c r="I79" s="387"/>
      <c r="J79" s="387"/>
      <c r="K79" s="387"/>
      <c r="L79" s="387"/>
      <c r="M79" s="387"/>
      <c r="N79" s="387"/>
      <c r="O79" s="387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</row>
    <row r="80" spans="1:50" x14ac:dyDescent="0.25">
      <c r="A80" s="387"/>
      <c r="B80" s="387"/>
      <c r="C80" s="387"/>
      <c r="D80" s="387"/>
      <c r="E80" s="387"/>
      <c r="F80" s="387"/>
      <c r="G80" s="387"/>
      <c r="H80" s="387"/>
      <c r="I80" s="387"/>
      <c r="J80" s="387"/>
      <c r="K80" s="387"/>
      <c r="L80" s="387"/>
      <c r="M80" s="387"/>
      <c r="N80" s="387"/>
      <c r="O80" s="387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89"/>
      <c r="AL80" s="389"/>
      <c r="AM80" s="389"/>
      <c r="AN80" s="389"/>
      <c r="AO80" s="389"/>
      <c r="AP80" s="389"/>
      <c r="AQ80" s="389"/>
      <c r="AR80" s="389"/>
      <c r="AS80" s="389"/>
      <c r="AT80" s="389"/>
      <c r="AU80" s="389"/>
      <c r="AV80" s="389"/>
      <c r="AW80" s="389"/>
      <c r="AX80" s="389"/>
    </row>
    <row r="81" spans="1:50" x14ac:dyDescent="0.25">
      <c r="A81" s="387"/>
      <c r="B81" s="387"/>
      <c r="C81" s="387"/>
      <c r="D81" s="387"/>
      <c r="E81" s="387"/>
      <c r="F81" s="387"/>
      <c r="G81" s="387"/>
      <c r="H81" s="387"/>
      <c r="I81" s="387"/>
      <c r="J81" s="387"/>
      <c r="K81" s="387"/>
      <c r="L81" s="387"/>
      <c r="M81" s="387"/>
      <c r="N81" s="387"/>
      <c r="O81" s="387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89"/>
      <c r="AL81" s="389"/>
      <c r="AM81" s="389"/>
      <c r="AN81" s="389"/>
      <c r="AO81" s="389"/>
      <c r="AP81" s="389"/>
      <c r="AQ81" s="389"/>
      <c r="AR81" s="389"/>
      <c r="AS81" s="389"/>
      <c r="AT81" s="389"/>
      <c r="AU81" s="389"/>
      <c r="AV81" s="389"/>
      <c r="AW81" s="389"/>
      <c r="AX81" s="389"/>
    </row>
    <row r="82" spans="1:50" x14ac:dyDescent="0.25">
      <c r="A82" s="387"/>
      <c r="B82" s="387"/>
      <c r="C82" s="387"/>
      <c r="D82" s="387"/>
      <c r="E82" s="387"/>
      <c r="F82" s="387"/>
      <c r="G82" s="387"/>
      <c r="H82" s="387"/>
      <c r="I82" s="387"/>
      <c r="J82" s="387"/>
      <c r="K82" s="387"/>
      <c r="L82" s="387"/>
      <c r="M82" s="387"/>
      <c r="N82" s="387"/>
      <c r="O82" s="387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  <c r="AP82" s="389"/>
      <c r="AQ82" s="389"/>
      <c r="AR82" s="389"/>
      <c r="AS82" s="389"/>
      <c r="AT82" s="389"/>
      <c r="AU82" s="389"/>
      <c r="AV82" s="389"/>
      <c r="AW82" s="389"/>
      <c r="AX82" s="389"/>
    </row>
    <row r="83" spans="1:50" x14ac:dyDescent="0.25">
      <c r="A83" s="387"/>
      <c r="B83" s="387"/>
      <c r="C83" s="387"/>
      <c r="D83" s="387"/>
      <c r="E83" s="387"/>
      <c r="F83" s="387"/>
      <c r="G83" s="387"/>
      <c r="H83" s="387"/>
      <c r="I83" s="387"/>
      <c r="J83" s="387"/>
      <c r="K83" s="387"/>
      <c r="L83" s="387"/>
      <c r="M83" s="387"/>
      <c r="N83" s="387"/>
      <c r="O83" s="387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  <c r="AL83" s="389"/>
      <c r="AM83" s="389"/>
      <c r="AN83" s="389"/>
      <c r="AO83" s="389"/>
      <c r="AP83" s="389"/>
      <c r="AQ83" s="389"/>
      <c r="AR83" s="389"/>
      <c r="AS83" s="389"/>
      <c r="AT83" s="389"/>
      <c r="AU83" s="389"/>
      <c r="AV83" s="389"/>
      <c r="AW83" s="389"/>
      <c r="AX83" s="389"/>
    </row>
    <row r="84" spans="1:50" x14ac:dyDescent="0.25">
      <c r="A84" s="387"/>
      <c r="B84" s="387"/>
      <c r="C84" s="387"/>
      <c r="D84" s="387"/>
      <c r="E84" s="387"/>
      <c r="F84" s="387"/>
      <c r="G84" s="387"/>
      <c r="H84" s="387"/>
      <c r="I84" s="387"/>
      <c r="J84" s="387"/>
      <c r="K84" s="387"/>
      <c r="L84" s="387"/>
      <c r="M84" s="387"/>
      <c r="N84" s="387"/>
      <c r="O84" s="387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</row>
    <row r="85" spans="1:50" x14ac:dyDescent="0.25">
      <c r="A85" s="387"/>
      <c r="B85" s="387"/>
      <c r="C85" s="387"/>
      <c r="D85" s="387"/>
      <c r="E85" s="387"/>
      <c r="F85" s="387"/>
      <c r="G85" s="387"/>
      <c r="H85" s="387"/>
      <c r="I85" s="387"/>
      <c r="J85" s="387"/>
      <c r="K85" s="387"/>
      <c r="L85" s="387"/>
      <c r="M85" s="387"/>
      <c r="N85" s="387"/>
      <c r="O85" s="387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89"/>
      <c r="AL85" s="389"/>
      <c r="AM85" s="389"/>
      <c r="AN85" s="389"/>
      <c r="AO85" s="389"/>
      <c r="AP85" s="389"/>
      <c r="AQ85" s="389"/>
      <c r="AR85" s="389"/>
      <c r="AS85" s="389"/>
      <c r="AT85" s="389"/>
      <c r="AU85" s="389"/>
      <c r="AV85" s="389"/>
      <c r="AW85" s="389"/>
      <c r="AX85" s="389"/>
    </row>
    <row r="86" spans="1:50" x14ac:dyDescent="0.25">
      <c r="A86" s="387"/>
      <c r="B86" s="387"/>
      <c r="C86" s="387"/>
      <c r="D86" s="387"/>
      <c r="E86" s="387"/>
      <c r="F86" s="387"/>
      <c r="G86" s="387"/>
      <c r="H86" s="387"/>
      <c r="I86" s="387"/>
      <c r="J86" s="387"/>
      <c r="K86" s="387"/>
      <c r="L86" s="387"/>
      <c r="M86" s="387"/>
      <c r="N86" s="387"/>
      <c r="O86" s="387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89"/>
      <c r="AL86" s="389"/>
      <c r="AM86" s="389"/>
      <c r="AN86" s="389"/>
      <c r="AO86" s="389"/>
      <c r="AP86" s="389"/>
      <c r="AQ86" s="389"/>
      <c r="AR86" s="389"/>
      <c r="AS86" s="389"/>
      <c r="AT86" s="389"/>
      <c r="AU86" s="389"/>
      <c r="AV86" s="389"/>
      <c r="AW86" s="389"/>
      <c r="AX86" s="389"/>
    </row>
    <row r="87" spans="1:50" x14ac:dyDescent="0.25">
      <c r="A87" s="387"/>
      <c r="B87" s="387"/>
      <c r="C87" s="387"/>
      <c r="D87" s="387"/>
      <c r="E87" s="387"/>
      <c r="F87" s="387"/>
      <c r="G87" s="387"/>
      <c r="H87" s="387"/>
      <c r="I87" s="387"/>
      <c r="J87" s="387"/>
      <c r="K87" s="387"/>
      <c r="L87" s="387"/>
      <c r="M87" s="387"/>
      <c r="N87" s="387"/>
      <c r="O87" s="387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89"/>
      <c r="AL87" s="389"/>
      <c r="AM87" s="389"/>
      <c r="AN87" s="389"/>
      <c r="AO87" s="389"/>
      <c r="AP87" s="389"/>
      <c r="AQ87" s="389"/>
      <c r="AR87" s="389"/>
      <c r="AS87" s="389"/>
      <c r="AT87" s="389"/>
      <c r="AU87" s="389"/>
      <c r="AV87" s="389"/>
      <c r="AW87" s="389"/>
      <c r="AX87" s="389"/>
    </row>
    <row r="88" spans="1:50" x14ac:dyDescent="0.25">
      <c r="A88" s="387"/>
      <c r="B88" s="387"/>
      <c r="C88" s="387"/>
      <c r="D88" s="387"/>
      <c r="E88" s="387"/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89"/>
      <c r="AL88" s="389"/>
      <c r="AM88" s="389"/>
      <c r="AN88" s="389"/>
      <c r="AO88" s="389"/>
      <c r="AP88" s="389"/>
      <c r="AQ88" s="389"/>
      <c r="AR88" s="389"/>
      <c r="AS88" s="389"/>
      <c r="AT88" s="389"/>
      <c r="AU88" s="389"/>
      <c r="AV88" s="389"/>
      <c r="AW88" s="389"/>
      <c r="AX88" s="389"/>
    </row>
    <row r="89" spans="1:50" x14ac:dyDescent="0.25">
      <c r="A89" s="387"/>
      <c r="B89" s="387"/>
      <c r="C89" s="387"/>
      <c r="D89" s="387"/>
      <c r="E89" s="387"/>
      <c r="F89" s="387"/>
      <c r="G89" s="387"/>
      <c r="H89" s="387"/>
      <c r="I89" s="387"/>
      <c r="J89" s="387"/>
      <c r="K89" s="387"/>
      <c r="L89" s="387"/>
      <c r="M89" s="387"/>
      <c r="N89" s="387"/>
      <c r="O89" s="387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</row>
    <row r="90" spans="1:50" x14ac:dyDescent="0.25">
      <c r="A90" s="387"/>
      <c r="B90" s="387"/>
      <c r="C90" s="387"/>
      <c r="D90" s="387"/>
      <c r="E90" s="387"/>
      <c r="F90" s="387"/>
      <c r="G90" s="387"/>
      <c r="H90" s="387"/>
      <c r="I90" s="387"/>
      <c r="J90" s="387"/>
      <c r="K90" s="387"/>
      <c r="L90" s="387"/>
      <c r="M90" s="387"/>
      <c r="N90" s="387"/>
      <c r="O90" s="387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89"/>
      <c r="AL90" s="389"/>
      <c r="AM90" s="389"/>
      <c r="AN90" s="389"/>
      <c r="AO90" s="389"/>
      <c r="AP90" s="389"/>
      <c r="AQ90" s="389"/>
      <c r="AR90" s="389"/>
      <c r="AS90" s="389"/>
      <c r="AT90" s="389"/>
      <c r="AU90" s="389"/>
      <c r="AV90" s="389"/>
      <c r="AW90" s="389"/>
      <c r="AX90" s="389"/>
    </row>
    <row r="91" spans="1:50" x14ac:dyDescent="0.25">
      <c r="A91" s="387"/>
      <c r="B91" s="387"/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9"/>
      <c r="Q91" s="389"/>
      <c r="R91" s="389"/>
      <c r="S91" s="389"/>
      <c r="T91" s="389"/>
      <c r="U91" s="389"/>
      <c r="V91" s="389"/>
      <c r="W91" s="389"/>
      <c r="X91" s="389"/>
      <c r="Y91" s="389"/>
      <c r="Z91" s="389"/>
      <c r="AA91" s="389"/>
      <c r="AB91" s="389"/>
      <c r="AC91" s="389"/>
      <c r="AD91" s="389"/>
      <c r="AE91" s="389"/>
      <c r="AF91" s="389"/>
      <c r="AG91" s="389"/>
      <c r="AH91" s="389"/>
      <c r="AI91" s="389"/>
      <c r="AJ91" s="389"/>
      <c r="AK91" s="389"/>
      <c r="AL91" s="389"/>
      <c r="AM91" s="389"/>
      <c r="AN91" s="389"/>
      <c r="AO91" s="389"/>
      <c r="AP91" s="389"/>
      <c r="AQ91" s="389"/>
      <c r="AR91" s="389"/>
      <c r="AS91" s="389"/>
      <c r="AT91" s="389"/>
      <c r="AU91" s="389"/>
      <c r="AV91" s="389"/>
      <c r="AW91" s="389"/>
      <c r="AX91" s="389"/>
    </row>
    <row r="92" spans="1:50" x14ac:dyDescent="0.25">
      <c r="A92" s="387"/>
      <c r="B92" s="387"/>
      <c r="C92" s="387"/>
      <c r="D92" s="387"/>
      <c r="E92" s="387"/>
      <c r="F92" s="387"/>
      <c r="G92" s="387"/>
      <c r="H92" s="387"/>
      <c r="I92" s="387"/>
      <c r="J92" s="387"/>
      <c r="K92" s="387"/>
      <c r="L92" s="387"/>
      <c r="M92" s="387"/>
      <c r="N92" s="387"/>
      <c r="O92" s="387"/>
      <c r="P92" s="389"/>
      <c r="Q92" s="389"/>
      <c r="R92" s="389"/>
      <c r="S92" s="389"/>
      <c r="T92" s="389"/>
      <c r="U92" s="389"/>
      <c r="V92" s="389"/>
      <c r="W92" s="389"/>
      <c r="X92" s="389"/>
      <c r="Y92" s="389"/>
      <c r="Z92" s="389"/>
      <c r="AA92" s="389"/>
      <c r="AB92" s="389"/>
      <c r="AC92" s="389"/>
      <c r="AD92" s="389"/>
      <c r="AE92" s="389"/>
      <c r="AF92" s="389"/>
      <c r="AG92" s="389"/>
      <c r="AH92" s="389"/>
      <c r="AI92" s="389"/>
      <c r="AJ92" s="389"/>
      <c r="AK92" s="389"/>
      <c r="AL92" s="389"/>
      <c r="AM92" s="389"/>
      <c r="AN92" s="389"/>
      <c r="AO92" s="389"/>
      <c r="AP92" s="389"/>
      <c r="AQ92" s="389"/>
      <c r="AR92" s="389"/>
      <c r="AS92" s="389"/>
      <c r="AT92" s="389"/>
      <c r="AU92" s="389"/>
      <c r="AV92" s="389"/>
      <c r="AW92" s="389"/>
      <c r="AX92" s="389"/>
    </row>
    <row r="93" spans="1:50" x14ac:dyDescent="0.25">
      <c r="A93" s="387"/>
      <c r="B93" s="387"/>
      <c r="C93" s="387"/>
      <c r="D93" s="387"/>
      <c r="E93" s="387"/>
      <c r="F93" s="387"/>
      <c r="G93" s="387"/>
      <c r="H93" s="387"/>
      <c r="I93" s="387"/>
      <c r="J93" s="387"/>
      <c r="K93" s="387"/>
      <c r="L93" s="387"/>
      <c r="M93" s="387"/>
      <c r="N93" s="387"/>
      <c r="O93" s="387"/>
      <c r="P93" s="389"/>
      <c r="Q93" s="389"/>
      <c r="R93" s="389"/>
      <c r="S93" s="389"/>
      <c r="T93" s="389"/>
      <c r="U93" s="389"/>
      <c r="V93" s="389"/>
      <c r="W93" s="389"/>
      <c r="X93" s="389"/>
      <c r="Y93" s="389"/>
      <c r="Z93" s="389"/>
      <c r="AA93" s="389"/>
      <c r="AB93" s="389"/>
      <c r="AC93" s="389"/>
      <c r="AD93" s="389"/>
      <c r="AE93" s="389"/>
      <c r="AF93" s="389"/>
      <c r="AG93" s="389"/>
      <c r="AH93" s="389"/>
      <c r="AI93" s="389"/>
      <c r="AJ93" s="389"/>
      <c r="AK93" s="389"/>
      <c r="AL93" s="389"/>
      <c r="AM93" s="389"/>
      <c r="AN93" s="389"/>
      <c r="AO93" s="389"/>
      <c r="AP93" s="389"/>
      <c r="AQ93" s="389"/>
      <c r="AR93" s="389"/>
      <c r="AS93" s="389"/>
      <c r="AT93" s="389"/>
      <c r="AU93" s="389"/>
      <c r="AV93" s="389"/>
      <c r="AW93" s="389"/>
      <c r="AX93" s="389"/>
    </row>
    <row r="94" spans="1:50" x14ac:dyDescent="0.25">
      <c r="A94" s="387"/>
      <c r="B94" s="387"/>
      <c r="C94" s="387"/>
      <c r="D94" s="387"/>
      <c r="E94" s="387"/>
      <c r="F94" s="387"/>
      <c r="G94" s="387"/>
      <c r="H94" s="387"/>
      <c r="I94" s="387"/>
      <c r="J94" s="387"/>
      <c r="K94" s="387"/>
      <c r="L94" s="387"/>
      <c r="M94" s="387"/>
      <c r="N94" s="387"/>
      <c r="O94" s="387"/>
      <c r="P94" s="389"/>
      <c r="Q94" s="389"/>
      <c r="R94" s="389"/>
      <c r="S94" s="389"/>
      <c r="T94" s="389"/>
      <c r="U94" s="389"/>
      <c r="V94" s="389"/>
      <c r="W94" s="389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</row>
    <row r="95" spans="1:50" x14ac:dyDescent="0.25">
      <c r="A95" s="387"/>
      <c r="B95" s="387"/>
      <c r="C95" s="387"/>
      <c r="D95" s="387"/>
      <c r="E95" s="387"/>
      <c r="F95" s="387"/>
      <c r="G95" s="387"/>
      <c r="H95" s="387"/>
      <c r="I95" s="387"/>
      <c r="J95" s="387"/>
      <c r="K95" s="387"/>
      <c r="L95" s="387"/>
      <c r="M95" s="387"/>
      <c r="N95" s="387"/>
      <c r="O95" s="387"/>
      <c r="P95" s="389"/>
      <c r="Q95" s="389"/>
      <c r="R95" s="389"/>
      <c r="S95" s="389"/>
      <c r="T95" s="389"/>
      <c r="U95" s="389"/>
      <c r="V95" s="389"/>
      <c r="W95" s="389"/>
      <c r="X95" s="389"/>
      <c r="Y95" s="389"/>
      <c r="Z95" s="389"/>
      <c r="AA95" s="389"/>
      <c r="AB95" s="389"/>
      <c r="AC95" s="389"/>
      <c r="AD95" s="389"/>
      <c r="AE95" s="389"/>
      <c r="AF95" s="389"/>
      <c r="AG95" s="389"/>
      <c r="AH95" s="389"/>
      <c r="AI95" s="389"/>
      <c r="AJ95" s="389"/>
      <c r="AK95" s="389"/>
      <c r="AL95" s="389"/>
      <c r="AM95" s="389"/>
      <c r="AN95" s="389"/>
      <c r="AO95" s="389"/>
      <c r="AP95" s="389"/>
      <c r="AQ95" s="389"/>
      <c r="AR95" s="389"/>
      <c r="AS95" s="389"/>
      <c r="AT95" s="389"/>
      <c r="AU95" s="389"/>
      <c r="AV95" s="389"/>
      <c r="AW95" s="389"/>
      <c r="AX95" s="389"/>
    </row>
    <row r="96" spans="1:50" x14ac:dyDescent="0.25">
      <c r="A96" s="387"/>
      <c r="B96" s="387"/>
      <c r="C96" s="387"/>
      <c r="D96" s="387"/>
      <c r="E96" s="387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89"/>
      <c r="Q96" s="389"/>
      <c r="R96" s="389"/>
      <c r="S96" s="389"/>
      <c r="T96" s="389"/>
      <c r="U96" s="389"/>
      <c r="V96" s="389"/>
      <c r="W96" s="389"/>
      <c r="X96" s="389"/>
      <c r="Y96" s="389"/>
      <c r="Z96" s="389"/>
      <c r="AA96" s="389"/>
      <c r="AB96" s="389"/>
      <c r="AC96" s="389"/>
      <c r="AD96" s="389"/>
      <c r="AE96" s="389"/>
      <c r="AF96" s="389"/>
      <c r="AG96" s="389"/>
      <c r="AH96" s="389"/>
      <c r="AI96" s="389"/>
      <c r="AJ96" s="389"/>
      <c r="AK96" s="389"/>
      <c r="AL96" s="389"/>
      <c r="AM96" s="389"/>
      <c r="AN96" s="389"/>
      <c r="AO96" s="389"/>
      <c r="AP96" s="389"/>
      <c r="AQ96" s="389"/>
      <c r="AR96" s="389"/>
      <c r="AS96" s="389"/>
      <c r="AT96" s="389"/>
      <c r="AU96" s="389"/>
      <c r="AV96" s="389"/>
      <c r="AW96" s="389"/>
      <c r="AX96" s="389"/>
    </row>
    <row r="97" spans="1:50" x14ac:dyDescent="0.25">
      <c r="A97" s="387"/>
      <c r="B97" s="387"/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9"/>
      <c r="Q97" s="389"/>
      <c r="R97" s="389"/>
      <c r="S97" s="389"/>
      <c r="T97" s="389"/>
      <c r="U97" s="389"/>
      <c r="V97" s="389"/>
      <c r="W97" s="389"/>
      <c r="X97" s="389"/>
      <c r="Y97" s="389"/>
      <c r="Z97" s="389"/>
      <c r="AA97" s="389"/>
      <c r="AB97" s="389"/>
      <c r="AC97" s="389"/>
      <c r="AD97" s="389"/>
      <c r="AE97" s="389"/>
      <c r="AF97" s="389"/>
      <c r="AG97" s="389"/>
      <c r="AH97" s="389"/>
      <c r="AI97" s="389"/>
      <c r="AJ97" s="389"/>
      <c r="AK97" s="389"/>
      <c r="AL97" s="389"/>
      <c r="AM97" s="389"/>
      <c r="AN97" s="389"/>
      <c r="AO97" s="389"/>
      <c r="AP97" s="389"/>
      <c r="AQ97" s="389"/>
      <c r="AR97" s="389"/>
      <c r="AS97" s="389"/>
      <c r="AT97" s="389"/>
      <c r="AU97" s="389"/>
      <c r="AV97" s="389"/>
      <c r="AW97" s="389"/>
      <c r="AX97" s="389"/>
    </row>
    <row r="98" spans="1:50" x14ac:dyDescent="0.25">
      <c r="A98" s="387"/>
      <c r="B98" s="387"/>
      <c r="C98" s="387"/>
      <c r="D98" s="387"/>
      <c r="E98" s="387"/>
      <c r="F98" s="387"/>
      <c r="G98" s="387"/>
      <c r="H98" s="387"/>
      <c r="I98" s="387"/>
      <c r="J98" s="387"/>
      <c r="K98" s="387"/>
      <c r="L98" s="387"/>
      <c r="M98" s="387"/>
      <c r="N98" s="387"/>
      <c r="O98" s="387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  <c r="AC98" s="389"/>
      <c r="AD98" s="389"/>
      <c r="AE98" s="389"/>
      <c r="AF98" s="389"/>
      <c r="AG98" s="389"/>
      <c r="AH98" s="389"/>
      <c r="AI98" s="389"/>
      <c r="AJ98" s="389"/>
      <c r="AK98" s="389"/>
      <c r="AL98" s="389"/>
      <c r="AM98" s="389"/>
      <c r="AN98" s="389"/>
      <c r="AO98" s="389"/>
      <c r="AP98" s="389"/>
      <c r="AQ98" s="389"/>
      <c r="AR98" s="389"/>
      <c r="AS98" s="389"/>
      <c r="AT98" s="389"/>
      <c r="AU98" s="389"/>
      <c r="AV98" s="389"/>
      <c r="AW98" s="389"/>
      <c r="AX98" s="389"/>
    </row>
    <row r="99" spans="1:50" x14ac:dyDescent="0.25">
      <c r="A99" s="387"/>
      <c r="B99" s="387"/>
      <c r="C99" s="387"/>
      <c r="D99" s="387"/>
      <c r="E99" s="387"/>
      <c r="F99" s="387"/>
      <c r="G99" s="387"/>
      <c r="H99" s="387"/>
      <c r="I99" s="387"/>
      <c r="J99" s="387"/>
      <c r="K99" s="387"/>
      <c r="L99" s="387"/>
      <c r="M99" s="387"/>
      <c r="N99" s="387"/>
      <c r="O99" s="387"/>
      <c r="P99" s="389"/>
      <c r="Q99" s="389"/>
      <c r="R99" s="389"/>
      <c r="S99" s="389"/>
      <c r="T99" s="389"/>
      <c r="U99" s="389"/>
      <c r="V99" s="389"/>
      <c r="W99" s="389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</row>
    <row r="100" spans="1:50" x14ac:dyDescent="0.25">
      <c r="A100" s="387"/>
      <c r="B100" s="387"/>
      <c r="C100" s="387"/>
      <c r="D100" s="387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87"/>
      <c r="P100" s="389"/>
      <c r="Q100" s="389"/>
      <c r="R100" s="389"/>
      <c r="S100" s="389"/>
      <c r="T100" s="389"/>
      <c r="U100" s="389"/>
      <c r="V100" s="389"/>
      <c r="W100" s="389"/>
      <c r="X100" s="389"/>
      <c r="Y100" s="389"/>
      <c r="Z100" s="389"/>
      <c r="AA100" s="389"/>
      <c r="AB100" s="389"/>
      <c r="AC100" s="389"/>
      <c r="AD100" s="389"/>
      <c r="AE100" s="389"/>
      <c r="AF100" s="389"/>
      <c r="AG100" s="389"/>
      <c r="AH100" s="389"/>
      <c r="AI100" s="389"/>
      <c r="AJ100" s="389"/>
      <c r="AK100" s="389"/>
      <c r="AL100" s="389"/>
      <c r="AM100" s="389"/>
      <c r="AN100" s="389"/>
      <c r="AO100" s="389"/>
      <c r="AP100" s="389"/>
      <c r="AQ100" s="389"/>
      <c r="AR100" s="389"/>
      <c r="AS100" s="389"/>
      <c r="AT100" s="389"/>
      <c r="AU100" s="389"/>
      <c r="AV100" s="389"/>
      <c r="AW100" s="389"/>
      <c r="AX100" s="389"/>
    </row>
    <row r="101" spans="1:50" x14ac:dyDescent="0.25">
      <c r="A101" s="387"/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  <c r="M101" s="387"/>
      <c r="N101" s="387"/>
      <c r="O101" s="387"/>
      <c r="P101" s="389"/>
      <c r="Q101" s="389"/>
      <c r="R101" s="389"/>
      <c r="S101" s="389"/>
      <c r="T101" s="389"/>
      <c r="U101" s="389"/>
      <c r="V101" s="389"/>
      <c r="W101" s="389"/>
      <c r="X101" s="389"/>
      <c r="Y101" s="389"/>
      <c r="Z101" s="389"/>
      <c r="AA101" s="389"/>
      <c r="AB101" s="389"/>
      <c r="AC101" s="389"/>
      <c r="AD101" s="389"/>
      <c r="AE101" s="389"/>
      <c r="AF101" s="389"/>
      <c r="AG101" s="389"/>
      <c r="AH101" s="389"/>
      <c r="AI101" s="389"/>
      <c r="AJ101" s="389"/>
      <c r="AK101" s="389"/>
      <c r="AL101" s="389"/>
      <c r="AM101" s="389"/>
      <c r="AN101" s="389"/>
      <c r="AO101" s="389"/>
      <c r="AP101" s="389"/>
      <c r="AQ101" s="389"/>
      <c r="AR101" s="389"/>
      <c r="AS101" s="389"/>
      <c r="AT101" s="389"/>
      <c r="AU101" s="389"/>
      <c r="AV101" s="389"/>
      <c r="AW101" s="389"/>
      <c r="AX101" s="389"/>
    </row>
    <row r="102" spans="1:50" x14ac:dyDescent="0.25">
      <c r="A102" s="387"/>
      <c r="B102" s="387"/>
      <c r="C102" s="387"/>
      <c r="D102" s="387"/>
      <c r="E102" s="387"/>
      <c r="F102" s="387"/>
      <c r="G102" s="387"/>
      <c r="H102" s="387"/>
      <c r="I102" s="387"/>
      <c r="J102" s="387"/>
      <c r="K102" s="387"/>
      <c r="L102" s="387"/>
      <c r="M102" s="387"/>
      <c r="N102" s="387"/>
      <c r="O102" s="387"/>
      <c r="P102" s="389"/>
      <c r="Q102" s="389"/>
      <c r="R102" s="389"/>
      <c r="S102" s="389"/>
      <c r="T102" s="389"/>
      <c r="U102" s="389"/>
      <c r="V102" s="389"/>
      <c r="W102" s="389"/>
      <c r="X102" s="389"/>
      <c r="Y102" s="389"/>
      <c r="Z102" s="389"/>
      <c r="AA102" s="389"/>
      <c r="AB102" s="389"/>
      <c r="AC102" s="389"/>
      <c r="AD102" s="389"/>
      <c r="AE102" s="389"/>
      <c r="AF102" s="389"/>
      <c r="AG102" s="389"/>
      <c r="AH102" s="389"/>
      <c r="AI102" s="389"/>
      <c r="AJ102" s="389"/>
      <c r="AK102" s="389"/>
      <c r="AL102" s="389"/>
      <c r="AM102" s="389"/>
      <c r="AN102" s="389"/>
      <c r="AO102" s="389"/>
      <c r="AP102" s="389"/>
      <c r="AQ102" s="389"/>
      <c r="AR102" s="389"/>
      <c r="AS102" s="389"/>
      <c r="AT102" s="389"/>
      <c r="AU102" s="389"/>
      <c r="AV102" s="389"/>
      <c r="AW102" s="389"/>
      <c r="AX102" s="389"/>
    </row>
    <row r="103" spans="1:50" x14ac:dyDescent="0.25">
      <c r="A103" s="387"/>
      <c r="B103" s="387"/>
      <c r="C103" s="387"/>
      <c r="D103" s="387"/>
      <c r="E103" s="387"/>
      <c r="F103" s="387"/>
      <c r="G103" s="387"/>
      <c r="H103" s="387"/>
      <c r="I103" s="387"/>
      <c r="J103" s="387"/>
      <c r="K103" s="387"/>
      <c r="L103" s="387"/>
      <c r="M103" s="387"/>
      <c r="N103" s="387"/>
      <c r="O103" s="387"/>
      <c r="P103" s="389"/>
      <c r="Q103" s="389"/>
      <c r="R103" s="389"/>
      <c r="S103" s="389"/>
      <c r="T103" s="389"/>
      <c r="U103" s="389"/>
      <c r="V103" s="389"/>
      <c r="W103" s="389"/>
      <c r="X103" s="389"/>
      <c r="Y103" s="389"/>
      <c r="Z103" s="389"/>
      <c r="AA103" s="389"/>
      <c r="AB103" s="389"/>
      <c r="AC103" s="389"/>
      <c r="AD103" s="389"/>
      <c r="AE103" s="389"/>
      <c r="AF103" s="389"/>
      <c r="AG103" s="389"/>
      <c r="AH103" s="389"/>
      <c r="AI103" s="389"/>
      <c r="AJ103" s="389"/>
      <c r="AK103" s="389"/>
      <c r="AL103" s="389"/>
      <c r="AM103" s="389"/>
      <c r="AN103" s="389"/>
      <c r="AO103" s="389"/>
      <c r="AP103" s="389"/>
      <c r="AQ103" s="389"/>
      <c r="AR103" s="389"/>
      <c r="AS103" s="389"/>
      <c r="AT103" s="389"/>
      <c r="AU103" s="389"/>
      <c r="AV103" s="389"/>
      <c r="AW103" s="389"/>
      <c r="AX103" s="389"/>
    </row>
    <row r="104" spans="1:50" x14ac:dyDescent="0.25">
      <c r="A104" s="387"/>
      <c r="B104" s="387"/>
      <c r="C104" s="387"/>
      <c r="D104" s="387"/>
      <c r="E104" s="387"/>
      <c r="F104" s="387"/>
      <c r="G104" s="387"/>
      <c r="H104" s="387"/>
      <c r="I104" s="387"/>
      <c r="J104" s="387"/>
      <c r="K104" s="387"/>
      <c r="L104" s="387"/>
      <c r="M104" s="387"/>
      <c r="N104" s="387"/>
      <c r="O104" s="387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</row>
    <row r="105" spans="1:50" x14ac:dyDescent="0.25">
      <c r="A105" s="387"/>
      <c r="B105" s="387"/>
      <c r="C105" s="387"/>
      <c r="D105" s="387"/>
      <c r="E105" s="387"/>
      <c r="F105" s="387"/>
      <c r="G105" s="387"/>
      <c r="H105" s="387"/>
      <c r="I105" s="387"/>
      <c r="J105" s="387"/>
      <c r="K105" s="387"/>
      <c r="L105" s="387"/>
      <c r="M105" s="387"/>
      <c r="N105" s="387"/>
      <c r="O105" s="387"/>
      <c r="P105" s="389"/>
      <c r="Q105" s="389"/>
      <c r="R105" s="389"/>
      <c r="S105" s="389"/>
      <c r="T105" s="389"/>
      <c r="U105" s="389"/>
      <c r="V105" s="389"/>
      <c r="W105" s="389"/>
      <c r="X105" s="389"/>
      <c r="Y105" s="389"/>
      <c r="Z105" s="389"/>
      <c r="AA105" s="389"/>
      <c r="AB105" s="389"/>
      <c r="AC105" s="389"/>
      <c r="AD105" s="389"/>
      <c r="AE105" s="389"/>
      <c r="AF105" s="389"/>
      <c r="AG105" s="389"/>
      <c r="AH105" s="389"/>
      <c r="AI105" s="389"/>
      <c r="AJ105" s="389"/>
      <c r="AK105" s="389"/>
      <c r="AL105" s="389"/>
      <c r="AM105" s="389"/>
      <c r="AN105" s="389"/>
      <c r="AO105" s="389"/>
      <c r="AP105" s="389"/>
      <c r="AQ105" s="389"/>
      <c r="AR105" s="389"/>
      <c r="AS105" s="389"/>
      <c r="AT105" s="389"/>
      <c r="AU105" s="389"/>
      <c r="AV105" s="389"/>
      <c r="AW105" s="389"/>
      <c r="AX105" s="389"/>
    </row>
    <row r="106" spans="1:50" x14ac:dyDescent="0.25">
      <c r="A106" s="387"/>
      <c r="B106" s="387"/>
      <c r="C106" s="387"/>
      <c r="D106" s="387"/>
      <c r="E106" s="387"/>
      <c r="F106" s="387"/>
      <c r="G106" s="387"/>
      <c r="H106" s="387"/>
      <c r="I106" s="387"/>
      <c r="J106" s="387"/>
      <c r="K106" s="387"/>
      <c r="L106" s="387"/>
      <c r="M106" s="387"/>
      <c r="N106" s="387"/>
      <c r="O106" s="387"/>
      <c r="P106" s="389"/>
      <c r="Q106" s="389"/>
      <c r="R106" s="389"/>
      <c r="S106" s="389"/>
      <c r="T106" s="389"/>
      <c r="U106" s="389"/>
      <c r="V106" s="389"/>
      <c r="W106" s="389"/>
      <c r="X106" s="389"/>
      <c r="Y106" s="389"/>
      <c r="Z106" s="389"/>
      <c r="AA106" s="389"/>
      <c r="AB106" s="389"/>
      <c r="AC106" s="389"/>
      <c r="AD106" s="389"/>
      <c r="AE106" s="389"/>
      <c r="AF106" s="389"/>
      <c r="AG106" s="389"/>
      <c r="AH106" s="389"/>
      <c r="AI106" s="389"/>
      <c r="AJ106" s="389"/>
      <c r="AK106" s="389"/>
      <c r="AL106" s="389"/>
      <c r="AM106" s="389"/>
      <c r="AN106" s="389"/>
      <c r="AO106" s="389"/>
      <c r="AP106" s="389"/>
      <c r="AQ106" s="389"/>
      <c r="AR106" s="389"/>
      <c r="AS106" s="389"/>
      <c r="AT106" s="389"/>
      <c r="AU106" s="389"/>
      <c r="AV106" s="389"/>
      <c r="AW106" s="389"/>
      <c r="AX106" s="389"/>
    </row>
    <row r="107" spans="1:50" x14ac:dyDescent="0.25">
      <c r="A107" s="387"/>
      <c r="B107" s="387"/>
      <c r="C107" s="387"/>
      <c r="D107" s="387"/>
      <c r="E107" s="387"/>
      <c r="F107" s="387"/>
      <c r="G107" s="387"/>
      <c r="H107" s="387"/>
      <c r="I107" s="387"/>
      <c r="J107" s="387"/>
      <c r="K107" s="387"/>
      <c r="L107" s="387"/>
      <c r="M107" s="387"/>
      <c r="N107" s="387"/>
      <c r="O107" s="387"/>
      <c r="P107" s="389"/>
      <c r="Q107" s="389"/>
      <c r="R107" s="389"/>
      <c r="S107" s="389"/>
      <c r="T107" s="389"/>
      <c r="U107" s="389"/>
      <c r="V107" s="389"/>
      <c r="W107" s="389"/>
      <c r="X107" s="389"/>
      <c r="Y107" s="389"/>
      <c r="Z107" s="389"/>
      <c r="AA107" s="389"/>
      <c r="AB107" s="389"/>
      <c r="AC107" s="389"/>
      <c r="AD107" s="389"/>
      <c r="AE107" s="389"/>
      <c r="AF107" s="389"/>
      <c r="AG107" s="389"/>
      <c r="AH107" s="389"/>
      <c r="AI107" s="389"/>
      <c r="AJ107" s="389"/>
      <c r="AK107" s="389"/>
      <c r="AL107" s="389"/>
      <c r="AM107" s="389"/>
      <c r="AN107" s="389"/>
      <c r="AO107" s="389"/>
      <c r="AP107" s="389"/>
      <c r="AQ107" s="389"/>
      <c r="AR107" s="389"/>
      <c r="AS107" s="389"/>
      <c r="AT107" s="389"/>
      <c r="AU107" s="389"/>
      <c r="AV107" s="389"/>
      <c r="AW107" s="389"/>
      <c r="AX107" s="389"/>
    </row>
    <row r="108" spans="1:50" x14ac:dyDescent="0.25">
      <c r="A108" s="387"/>
      <c r="B108" s="387"/>
      <c r="C108" s="387"/>
      <c r="D108" s="387"/>
      <c r="E108" s="387"/>
      <c r="F108" s="387"/>
      <c r="G108" s="387"/>
      <c r="H108" s="387"/>
      <c r="I108" s="387"/>
      <c r="J108" s="387"/>
      <c r="K108" s="387"/>
      <c r="L108" s="387"/>
      <c r="M108" s="387"/>
      <c r="N108" s="387"/>
      <c r="O108" s="387"/>
      <c r="P108" s="389"/>
      <c r="Q108" s="389"/>
      <c r="R108" s="389"/>
      <c r="S108" s="389"/>
      <c r="T108" s="389"/>
      <c r="U108" s="389"/>
      <c r="V108" s="389"/>
      <c r="W108" s="389"/>
      <c r="X108" s="389"/>
      <c r="Y108" s="389"/>
      <c r="Z108" s="389"/>
      <c r="AA108" s="389"/>
      <c r="AB108" s="389"/>
      <c r="AC108" s="389"/>
      <c r="AD108" s="389"/>
      <c r="AE108" s="389"/>
      <c r="AF108" s="389"/>
      <c r="AG108" s="389"/>
      <c r="AH108" s="389"/>
      <c r="AI108" s="389"/>
      <c r="AJ108" s="389"/>
      <c r="AK108" s="389"/>
      <c r="AL108" s="389"/>
      <c r="AM108" s="389"/>
      <c r="AN108" s="389"/>
      <c r="AO108" s="389"/>
      <c r="AP108" s="389"/>
      <c r="AQ108" s="389"/>
      <c r="AR108" s="389"/>
      <c r="AS108" s="389"/>
      <c r="AT108" s="389"/>
      <c r="AU108" s="389"/>
      <c r="AV108" s="389"/>
      <c r="AW108" s="389"/>
      <c r="AX108" s="389"/>
    </row>
    <row r="109" spans="1:50" x14ac:dyDescent="0.25">
      <c r="A109" s="387"/>
      <c r="B109" s="387"/>
      <c r="C109" s="387"/>
      <c r="D109" s="387"/>
      <c r="E109" s="387"/>
      <c r="F109" s="387"/>
      <c r="G109" s="387"/>
      <c r="H109" s="387"/>
      <c r="I109" s="387"/>
      <c r="J109" s="387"/>
      <c r="K109" s="387"/>
      <c r="L109" s="387"/>
      <c r="M109" s="387"/>
      <c r="N109" s="387"/>
      <c r="O109" s="387"/>
      <c r="P109" s="389"/>
      <c r="Q109" s="389"/>
      <c r="R109" s="389"/>
      <c r="S109" s="389"/>
      <c r="T109" s="389"/>
      <c r="U109" s="389"/>
      <c r="V109" s="389"/>
      <c r="W109" s="389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</row>
    <row r="110" spans="1:50" x14ac:dyDescent="0.25">
      <c r="A110" s="387"/>
      <c r="B110" s="387"/>
      <c r="C110" s="387"/>
      <c r="D110" s="387"/>
      <c r="E110" s="387"/>
      <c r="F110" s="387"/>
      <c r="G110" s="387"/>
      <c r="H110" s="387"/>
      <c r="I110" s="387"/>
      <c r="J110" s="387"/>
      <c r="K110" s="387"/>
      <c r="L110" s="387"/>
      <c r="M110" s="387"/>
      <c r="N110" s="387"/>
      <c r="O110" s="387"/>
      <c r="P110" s="389"/>
      <c r="Q110" s="389"/>
      <c r="R110" s="389"/>
      <c r="S110" s="389"/>
      <c r="T110" s="389"/>
      <c r="U110" s="389"/>
      <c r="V110" s="389"/>
      <c r="W110" s="389"/>
      <c r="X110" s="389"/>
      <c r="Y110" s="389"/>
      <c r="Z110" s="389"/>
      <c r="AA110" s="389"/>
      <c r="AB110" s="389"/>
      <c r="AC110" s="389"/>
      <c r="AD110" s="389"/>
      <c r="AE110" s="389"/>
      <c r="AF110" s="389"/>
      <c r="AG110" s="389"/>
      <c r="AH110" s="389"/>
      <c r="AI110" s="389"/>
      <c r="AJ110" s="389"/>
      <c r="AK110" s="389"/>
      <c r="AL110" s="389"/>
      <c r="AM110" s="389"/>
      <c r="AN110" s="389"/>
      <c r="AO110" s="389"/>
      <c r="AP110" s="389"/>
      <c r="AQ110" s="389"/>
      <c r="AR110" s="389"/>
      <c r="AS110" s="389"/>
      <c r="AT110" s="389"/>
      <c r="AU110" s="389"/>
      <c r="AV110" s="389"/>
      <c r="AW110" s="389"/>
      <c r="AX110" s="389"/>
    </row>
    <row r="111" spans="1:50" x14ac:dyDescent="0.25">
      <c r="A111" s="387"/>
      <c r="B111" s="387"/>
      <c r="C111" s="387"/>
      <c r="D111" s="387"/>
      <c r="E111" s="387"/>
      <c r="F111" s="387"/>
      <c r="G111" s="387"/>
      <c r="H111" s="387"/>
      <c r="I111" s="387"/>
      <c r="J111" s="387"/>
      <c r="K111" s="387"/>
      <c r="L111" s="387"/>
      <c r="M111" s="387"/>
      <c r="N111" s="387"/>
      <c r="O111" s="387"/>
      <c r="P111" s="389"/>
      <c r="Q111" s="389"/>
      <c r="R111" s="389"/>
      <c r="S111" s="389"/>
      <c r="T111" s="389"/>
      <c r="U111" s="389"/>
      <c r="V111" s="389"/>
      <c r="W111" s="389"/>
      <c r="X111" s="389"/>
      <c r="Y111" s="389"/>
      <c r="Z111" s="389"/>
      <c r="AA111" s="389"/>
      <c r="AB111" s="389"/>
      <c r="AC111" s="389"/>
      <c r="AD111" s="389"/>
      <c r="AE111" s="389"/>
      <c r="AF111" s="389"/>
      <c r="AG111" s="389"/>
      <c r="AH111" s="389"/>
      <c r="AI111" s="389"/>
      <c r="AJ111" s="389"/>
      <c r="AK111" s="389"/>
      <c r="AL111" s="389"/>
      <c r="AM111" s="389"/>
      <c r="AN111" s="389"/>
      <c r="AO111" s="389"/>
      <c r="AP111" s="389"/>
      <c r="AQ111" s="389"/>
      <c r="AR111" s="389"/>
      <c r="AS111" s="389"/>
      <c r="AT111" s="389"/>
      <c r="AU111" s="389"/>
      <c r="AV111" s="389"/>
      <c r="AW111" s="389"/>
      <c r="AX111" s="389"/>
    </row>
    <row r="112" spans="1:50" x14ac:dyDescent="0.25">
      <c r="A112" s="387"/>
      <c r="B112" s="387"/>
      <c r="C112" s="387"/>
      <c r="D112" s="387"/>
      <c r="E112" s="387"/>
      <c r="F112" s="387"/>
      <c r="G112" s="387"/>
      <c r="H112" s="387"/>
      <c r="I112" s="387"/>
      <c r="J112" s="387"/>
      <c r="K112" s="387"/>
      <c r="L112" s="387"/>
      <c r="M112" s="387"/>
      <c r="N112" s="387"/>
      <c r="O112" s="387"/>
      <c r="P112" s="389"/>
      <c r="Q112" s="389"/>
      <c r="R112" s="389"/>
      <c r="S112" s="389"/>
      <c r="T112" s="389"/>
      <c r="U112" s="389"/>
      <c r="V112" s="389"/>
      <c r="W112" s="389"/>
      <c r="X112" s="389"/>
      <c r="Y112" s="389"/>
      <c r="Z112" s="389"/>
      <c r="AA112" s="389"/>
      <c r="AB112" s="389"/>
      <c r="AC112" s="389"/>
      <c r="AD112" s="389"/>
      <c r="AE112" s="389"/>
      <c r="AF112" s="389"/>
      <c r="AG112" s="389"/>
      <c r="AH112" s="389"/>
      <c r="AI112" s="389"/>
      <c r="AJ112" s="389"/>
      <c r="AK112" s="389"/>
      <c r="AL112" s="389"/>
      <c r="AM112" s="389"/>
      <c r="AN112" s="389"/>
      <c r="AO112" s="389"/>
      <c r="AP112" s="389"/>
      <c r="AQ112" s="389"/>
      <c r="AR112" s="389"/>
      <c r="AS112" s="389"/>
      <c r="AT112" s="389"/>
      <c r="AU112" s="389"/>
      <c r="AV112" s="389"/>
      <c r="AW112" s="389"/>
      <c r="AX112" s="389"/>
    </row>
    <row r="113" spans="1:50" x14ac:dyDescent="0.25">
      <c r="A113" s="387"/>
      <c r="B113" s="387"/>
      <c r="C113" s="387"/>
      <c r="D113" s="387"/>
      <c r="E113" s="387"/>
      <c r="F113" s="387"/>
      <c r="G113" s="387"/>
      <c r="H113" s="387"/>
      <c r="I113" s="387"/>
      <c r="J113" s="387"/>
      <c r="K113" s="387"/>
      <c r="L113" s="387"/>
      <c r="M113" s="387"/>
      <c r="N113" s="387"/>
      <c r="O113" s="387"/>
      <c r="P113" s="389"/>
      <c r="Q113" s="389"/>
      <c r="R113" s="389"/>
      <c r="S113" s="389"/>
      <c r="T113" s="389"/>
      <c r="U113" s="389"/>
      <c r="V113" s="389"/>
      <c r="W113" s="389"/>
      <c r="X113" s="389"/>
      <c r="Y113" s="389"/>
      <c r="Z113" s="389"/>
      <c r="AA113" s="389"/>
      <c r="AB113" s="389"/>
      <c r="AC113" s="389"/>
      <c r="AD113" s="389"/>
      <c r="AE113" s="389"/>
      <c r="AF113" s="389"/>
      <c r="AG113" s="389"/>
      <c r="AH113" s="389"/>
      <c r="AI113" s="389"/>
      <c r="AJ113" s="389"/>
      <c r="AK113" s="389"/>
      <c r="AL113" s="389"/>
      <c r="AM113" s="389"/>
      <c r="AN113" s="389"/>
      <c r="AO113" s="389"/>
      <c r="AP113" s="389"/>
      <c r="AQ113" s="389"/>
      <c r="AR113" s="389"/>
      <c r="AS113" s="389"/>
      <c r="AT113" s="389"/>
      <c r="AU113" s="389"/>
      <c r="AV113" s="389"/>
      <c r="AW113" s="389"/>
      <c r="AX113" s="389"/>
    </row>
    <row r="114" spans="1:50" x14ac:dyDescent="0.25">
      <c r="A114" s="387"/>
      <c r="B114" s="387"/>
      <c r="C114" s="387"/>
      <c r="D114" s="387"/>
      <c r="E114" s="387"/>
      <c r="F114" s="387"/>
      <c r="G114" s="387"/>
      <c r="H114" s="387"/>
      <c r="I114" s="387"/>
      <c r="J114" s="387"/>
      <c r="K114" s="387"/>
      <c r="L114" s="387"/>
      <c r="M114" s="387"/>
      <c r="N114" s="387"/>
      <c r="O114" s="387"/>
      <c r="P114" s="389"/>
      <c r="Q114" s="389"/>
      <c r="R114" s="389"/>
      <c r="S114" s="389"/>
      <c r="T114" s="389"/>
      <c r="U114" s="389"/>
      <c r="V114" s="389"/>
      <c r="W114" s="389"/>
      <c r="X114" s="389"/>
      <c r="Y114" s="389"/>
      <c r="Z114" s="389"/>
      <c r="AA114" s="389"/>
      <c r="AB114" s="389"/>
      <c r="AC114" s="389"/>
      <c r="AD114" s="389"/>
      <c r="AE114" s="389"/>
      <c r="AF114" s="389"/>
      <c r="AG114" s="389"/>
      <c r="AH114" s="389"/>
      <c r="AI114" s="389"/>
      <c r="AJ114" s="389"/>
      <c r="AK114" s="389"/>
      <c r="AL114" s="389"/>
      <c r="AM114" s="389"/>
      <c r="AN114" s="389"/>
      <c r="AO114" s="389"/>
      <c r="AP114" s="389"/>
      <c r="AQ114" s="389"/>
      <c r="AR114" s="389"/>
      <c r="AS114" s="389"/>
      <c r="AT114" s="389"/>
      <c r="AU114" s="389"/>
      <c r="AV114" s="389"/>
      <c r="AW114" s="389"/>
      <c r="AX114" s="389"/>
    </row>
    <row r="115" spans="1:50" x14ac:dyDescent="0.25">
      <c r="A115" s="387"/>
      <c r="B115" s="387"/>
      <c r="C115" s="387"/>
      <c r="D115" s="387"/>
      <c r="E115" s="387"/>
      <c r="F115" s="387"/>
      <c r="G115" s="387"/>
      <c r="H115" s="387"/>
      <c r="I115" s="387"/>
      <c r="J115" s="387"/>
      <c r="K115" s="387"/>
      <c r="L115" s="387"/>
      <c r="M115" s="387"/>
      <c r="N115" s="387"/>
      <c r="O115" s="387"/>
      <c r="P115" s="389"/>
      <c r="Q115" s="389"/>
      <c r="R115" s="389"/>
      <c r="S115" s="389"/>
      <c r="T115" s="389"/>
      <c r="U115" s="389"/>
      <c r="V115" s="389"/>
      <c r="W115" s="389"/>
      <c r="X115" s="389"/>
      <c r="Y115" s="389"/>
      <c r="Z115" s="389"/>
      <c r="AA115" s="389"/>
      <c r="AB115" s="389"/>
      <c r="AC115" s="389"/>
      <c r="AD115" s="389"/>
      <c r="AE115" s="389"/>
      <c r="AF115" s="389"/>
      <c r="AG115" s="389"/>
      <c r="AH115" s="389"/>
      <c r="AI115" s="389"/>
      <c r="AJ115" s="389"/>
      <c r="AK115" s="389"/>
      <c r="AL115" s="389"/>
      <c r="AM115" s="389"/>
      <c r="AN115" s="389"/>
      <c r="AO115" s="389"/>
      <c r="AP115" s="389"/>
      <c r="AQ115" s="389"/>
      <c r="AR115" s="389"/>
      <c r="AS115" s="389"/>
      <c r="AT115" s="389"/>
      <c r="AU115" s="389"/>
      <c r="AV115" s="389"/>
      <c r="AW115" s="389"/>
      <c r="AX115" s="389"/>
    </row>
    <row r="116" spans="1:50" x14ac:dyDescent="0.25">
      <c r="A116" s="387"/>
      <c r="B116" s="387"/>
      <c r="C116" s="387"/>
      <c r="D116" s="387"/>
      <c r="E116" s="387"/>
      <c r="F116" s="387"/>
      <c r="G116" s="387"/>
      <c r="H116" s="387"/>
      <c r="I116" s="387"/>
      <c r="J116" s="387"/>
      <c r="K116" s="387"/>
      <c r="L116" s="387"/>
      <c r="M116" s="387"/>
      <c r="N116" s="387"/>
      <c r="O116" s="387"/>
      <c r="P116" s="389"/>
      <c r="Q116" s="389"/>
      <c r="R116" s="389"/>
      <c r="S116" s="389"/>
      <c r="T116" s="389"/>
      <c r="U116" s="389"/>
      <c r="V116" s="389"/>
      <c r="W116" s="389"/>
      <c r="X116" s="389"/>
      <c r="Y116" s="389"/>
      <c r="Z116" s="389"/>
      <c r="AA116" s="389"/>
      <c r="AB116" s="389"/>
      <c r="AC116" s="389"/>
      <c r="AD116" s="389"/>
      <c r="AE116" s="389"/>
      <c r="AF116" s="389"/>
      <c r="AG116" s="389"/>
      <c r="AH116" s="389"/>
      <c r="AI116" s="389"/>
      <c r="AJ116" s="389"/>
      <c r="AK116" s="389"/>
      <c r="AL116" s="389"/>
      <c r="AM116" s="389"/>
      <c r="AN116" s="389"/>
      <c r="AO116" s="389"/>
      <c r="AP116" s="389"/>
      <c r="AQ116" s="389"/>
      <c r="AR116" s="389"/>
      <c r="AS116" s="389"/>
      <c r="AT116" s="389"/>
      <c r="AU116" s="389"/>
      <c r="AV116" s="389"/>
      <c r="AW116" s="389"/>
      <c r="AX116" s="389"/>
    </row>
    <row r="117" spans="1:50" x14ac:dyDescent="0.25">
      <c r="A117" s="387"/>
      <c r="B117" s="387"/>
      <c r="C117" s="387"/>
      <c r="D117" s="387"/>
      <c r="E117" s="387"/>
      <c r="F117" s="387"/>
      <c r="G117" s="387"/>
      <c r="H117" s="387"/>
      <c r="I117" s="387"/>
      <c r="J117" s="387"/>
      <c r="K117" s="387"/>
      <c r="L117" s="387"/>
      <c r="M117" s="387"/>
      <c r="N117" s="387"/>
      <c r="O117" s="387"/>
      <c r="P117" s="389"/>
      <c r="Q117" s="389"/>
      <c r="R117" s="389"/>
      <c r="S117" s="389"/>
      <c r="T117" s="389"/>
      <c r="U117" s="389"/>
      <c r="V117" s="389"/>
      <c r="W117" s="389"/>
      <c r="X117" s="389"/>
      <c r="Y117" s="389"/>
      <c r="Z117" s="389"/>
      <c r="AA117" s="389"/>
      <c r="AB117" s="389"/>
      <c r="AC117" s="389"/>
      <c r="AD117" s="389"/>
      <c r="AE117" s="389"/>
      <c r="AF117" s="389"/>
      <c r="AG117" s="389"/>
      <c r="AH117" s="389"/>
      <c r="AI117" s="389"/>
      <c r="AJ117" s="389"/>
      <c r="AK117" s="389"/>
      <c r="AL117" s="389"/>
      <c r="AM117" s="389"/>
      <c r="AN117" s="389"/>
      <c r="AO117" s="389"/>
      <c r="AP117" s="389"/>
      <c r="AQ117" s="389"/>
      <c r="AR117" s="389"/>
      <c r="AS117" s="389"/>
      <c r="AT117" s="389"/>
      <c r="AU117" s="389"/>
      <c r="AV117" s="389"/>
      <c r="AW117" s="389"/>
      <c r="AX117" s="389"/>
    </row>
    <row r="118" spans="1:50" x14ac:dyDescent="0.25">
      <c r="A118" s="387"/>
      <c r="B118" s="387"/>
      <c r="C118" s="387"/>
      <c r="D118" s="387"/>
      <c r="E118" s="387"/>
      <c r="F118" s="387"/>
      <c r="G118" s="387"/>
      <c r="H118" s="387"/>
      <c r="I118" s="387"/>
      <c r="J118" s="387"/>
      <c r="K118" s="387"/>
      <c r="L118" s="387"/>
      <c r="M118" s="387"/>
      <c r="N118" s="387"/>
      <c r="O118" s="387"/>
      <c r="P118" s="389"/>
      <c r="Q118" s="389"/>
      <c r="R118" s="389"/>
      <c r="S118" s="389"/>
      <c r="T118" s="389"/>
      <c r="U118" s="389"/>
      <c r="V118" s="389"/>
      <c r="W118" s="389"/>
      <c r="X118" s="389"/>
      <c r="Y118" s="389"/>
      <c r="Z118" s="389"/>
      <c r="AA118" s="389"/>
      <c r="AB118" s="389"/>
      <c r="AC118" s="389"/>
      <c r="AD118" s="389"/>
      <c r="AE118" s="389"/>
      <c r="AF118" s="389"/>
      <c r="AG118" s="389"/>
      <c r="AH118" s="389"/>
      <c r="AI118" s="389"/>
      <c r="AJ118" s="389"/>
      <c r="AK118" s="389"/>
      <c r="AL118" s="389"/>
      <c r="AM118" s="389"/>
      <c r="AN118" s="389"/>
      <c r="AO118" s="389"/>
      <c r="AP118" s="389"/>
      <c r="AQ118" s="389"/>
      <c r="AR118" s="389"/>
      <c r="AS118" s="389"/>
      <c r="AT118" s="389"/>
      <c r="AU118" s="389"/>
      <c r="AV118" s="389"/>
      <c r="AW118" s="389"/>
      <c r="AX118" s="389"/>
    </row>
    <row r="119" spans="1:50" x14ac:dyDescent="0.25">
      <c r="A119" s="387"/>
      <c r="B119" s="387"/>
      <c r="C119" s="387"/>
      <c r="D119" s="387"/>
      <c r="E119" s="387"/>
      <c r="F119" s="387"/>
      <c r="G119" s="387"/>
      <c r="H119" s="387"/>
      <c r="I119" s="387"/>
      <c r="J119" s="387"/>
      <c r="K119" s="387"/>
      <c r="L119" s="387"/>
      <c r="M119" s="387"/>
      <c r="N119" s="387"/>
      <c r="O119" s="387"/>
      <c r="P119" s="389"/>
      <c r="Q119" s="389"/>
      <c r="R119" s="389"/>
      <c r="S119" s="389"/>
      <c r="T119" s="389"/>
      <c r="U119" s="389"/>
      <c r="V119" s="389"/>
      <c r="W119" s="389"/>
      <c r="X119" s="389"/>
      <c r="Y119" s="389"/>
      <c r="Z119" s="389"/>
      <c r="AA119" s="389"/>
      <c r="AB119" s="389"/>
      <c r="AC119" s="389"/>
      <c r="AD119" s="389"/>
      <c r="AE119" s="389"/>
      <c r="AF119" s="389"/>
      <c r="AG119" s="389"/>
      <c r="AH119" s="389"/>
      <c r="AI119" s="389"/>
      <c r="AJ119" s="389"/>
      <c r="AK119" s="389"/>
      <c r="AL119" s="389"/>
      <c r="AM119" s="389"/>
      <c r="AN119" s="389"/>
      <c r="AO119" s="389"/>
      <c r="AP119" s="389"/>
      <c r="AQ119" s="389"/>
      <c r="AR119" s="389"/>
      <c r="AS119" s="389"/>
      <c r="AT119" s="389"/>
      <c r="AU119" s="389"/>
      <c r="AV119" s="389"/>
      <c r="AW119" s="389"/>
      <c r="AX119" s="389"/>
    </row>
    <row r="120" spans="1:50" x14ac:dyDescent="0.25">
      <c r="A120" s="387"/>
      <c r="B120" s="387"/>
      <c r="C120" s="387"/>
      <c r="D120" s="387"/>
      <c r="E120" s="387"/>
      <c r="F120" s="387"/>
      <c r="G120" s="387"/>
      <c r="H120" s="387"/>
      <c r="I120" s="387"/>
      <c r="J120" s="387"/>
      <c r="K120" s="387"/>
      <c r="L120" s="387"/>
      <c r="M120" s="387"/>
      <c r="N120" s="387"/>
      <c r="O120" s="387"/>
      <c r="P120" s="389"/>
      <c r="Q120" s="389"/>
      <c r="R120" s="389"/>
      <c r="S120" s="389"/>
      <c r="T120" s="389"/>
      <c r="U120" s="389"/>
      <c r="V120" s="389"/>
      <c r="W120" s="389"/>
      <c r="X120" s="389"/>
      <c r="Y120" s="389"/>
      <c r="Z120" s="389"/>
      <c r="AA120" s="389"/>
      <c r="AB120" s="389"/>
      <c r="AC120" s="389"/>
      <c r="AD120" s="389"/>
      <c r="AE120" s="389"/>
      <c r="AF120" s="389"/>
      <c r="AG120" s="389"/>
      <c r="AH120" s="389"/>
      <c r="AI120" s="389"/>
      <c r="AJ120" s="389"/>
      <c r="AK120" s="389"/>
      <c r="AL120" s="389"/>
      <c r="AM120" s="389"/>
      <c r="AN120" s="389"/>
      <c r="AO120" s="389"/>
      <c r="AP120" s="389"/>
      <c r="AQ120" s="389"/>
      <c r="AR120" s="389"/>
      <c r="AS120" s="389"/>
      <c r="AT120" s="389"/>
      <c r="AU120" s="389"/>
      <c r="AV120" s="389"/>
      <c r="AW120" s="389"/>
      <c r="AX120" s="389"/>
    </row>
    <row r="121" spans="1:50" x14ac:dyDescent="0.25">
      <c r="A121" s="387"/>
      <c r="B121" s="387"/>
      <c r="C121" s="387"/>
      <c r="D121" s="387"/>
      <c r="E121" s="387"/>
      <c r="F121" s="387"/>
      <c r="G121" s="387"/>
      <c r="H121" s="387"/>
      <c r="I121" s="387"/>
      <c r="J121" s="387"/>
      <c r="K121" s="387"/>
      <c r="L121" s="387"/>
      <c r="M121" s="387"/>
      <c r="N121" s="387"/>
      <c r="O121" s="387"/>
      <c r="P121" s="389"/>
      <c r="Q121" s="389"/>
      <c r="R121" s="389"/>
      <c r="S121" s="389"/>
      <c r="T121" s="389"/>
      <c r="U121" s="389"/>
      <c r="V121" s="389"/>
      <c r="W121" s="389"/>
      <c r="X121" s="389"/>
      <c r="Y121" s="389"/>
      <c r="Z121" s="389"/>
      <c r="AA121" s="389"/>
      <c r="AB121" s="389"/>
      <c r="AC121" s="389"/>
      <c r="AD121" s="389"/>
      <c r="AE121" s="389"/>
      <c r="AF121" s="389"/>
      <c r="AG121" s="389"/>
      <c r="AH121" s="389"/>
      <c r="AI121" s="389"/>
      <c r="AJ121" s="389"/>
      <c r="AK121" s="389"/>
      <c r="AL121" s="389"/>
      <c r="AM121" s="389"/>
      <c r="AN121" s="389"/>
      <c r="AO121" s="389"/>
      <c r="AP121" s="389"/>
      <c r="AQ121" s="389"/>
      <c r="AR121" s="389"/>
      <c r="AS121" s="389"/>
      <c r="AT121" s="389"/>
      <c r="AU121" s="389"/>
      <c r="AV121" s="389"/>
      <c r="AW121" s="389"/>
      <c r="AX121" s="389"/>
    </row>
    <row r="122" spans="1:50" x14ac:dyDescent="0.25">
      <c r="A122" s="387"/>
      <c r="B122" s="387"/>
      <c r="C122" s="387"/>
      <c r="D122" s="387"/>
      <c r="E122" s="387"/>
      <c r="F122" s="387"/>
      <c r="G122" s="387"/>
      <c r="H122" s="387"/>
      <c r="I122" s="387"/>
      <c r="J122" s="387"/>
      <c r="K122" s="387"/>
      <c r="L122" s="387"/>
      <c r="M122" s="387"/>
      <c r="N122" s="387"/>
      <c r="O122" s="387"/>
      <c r="P122" s="389"/>
      <c r="Q122" s="389"/>
      <c r="R122" s="389"/>
      <c r="S122" s="389"/>
      <c r="T122" s="389"/>
      <c r="U122" s="389"/>
      <c r="V122" s="389"/>
      <c r="W122" s="389"/>
      <c r="X122" s="389"/>
      <c r="Y122" s="389"/>
      <c r="Z122" s="389"/>
      <c r="AA122" s="389"/>
      <c r="AB122" s="389"/>
      <c r="AC122" s="389"/>
      <c r="AD122" s="389"/>
      <c r="AE122" s="389"/>
      <c r="AF122" s="389"/>
      <c r="AG122" s="389"/>
      <c r="AH122" s="389"/>
      <c r="AI122" s="389"/>
      <c r="AJ122" s="389"/>
      <c r="AK122" s="389"/>
      <c r="AL122" s="389"/>
      <c r="AM122" s="389"/>
      <c r="AN122" s="389"/>
      <c r="AO122" s="389"/>
      <c r="AP122" s="389"/>
      <c r="AQ122" s="389"/>
      <c r="AR122" s="389"/>
      <c r="AS122" s="389"/>
      <c r="AT122" s="389"/>
      <c r="AU122" s="389"/>
      <c r="AV122" s="389"/>
      <c r="AW122" s="389"/>
      <c r="AX122" s="389"/>
    </row>
    <row r="123" spans="1:50" x14ac:dyDescent="0.25">
      <c r="A123" s="387"/>
      <c r="B123" s="387"/>
      <c r="C123" s="387"/>
      <c r="D123" s="387"/>
      <c r="E123" s="387"/>
      <c r="F123" s="387"/>
      <c r="G123" s="387"/>
      <c r="H123" s="387"/>
      <c r="I123" s="387"/>
      <c r="J123" s="387"/>
      <c r="K123" s="387"/>
      <c r="L123" s="387"/>
      <c r="M123" s="387"/>
      <c r="N123" s="387"/>
      <c r="O123" s="387"/>
      <c r="P123" s="389"/>
      <c r="Q123" s="389"/>
      <c r="R123" s="389"/>
      <c r="S123" s="389"/>
      <c r="T123" s="389"/>
      <c r="U123" s="389"/>
      <c r="V123" s="389"/>
      <c r="W123" s="389"/>
      <c r="X123" s="389"/>
      <c r="Y123" s="389"/>
      <c r="Z123" s="389"/>
      <c r="AA123" s="389"/>
      <c r="AB123" s="389"/>
      <c r="AC123" s="389"/>
      <c r="AD123" s="389"/>
      <c r="AE123" s="389"/>
      <c r="AF123" s="389"/>
      <c r="AG123" s="389"/>
      <c r="AH123" s="389"/>
      <c r="AI123" s="389"/>
      <c r="AJ123" s="389"/>
      <c r="AK123" s="389"/>
      <c r="AL123" s="389"/>
      <c r="AM123" s="389"/>
      <c r="AN123" s="389"/>
      <c r="AO123" s="389"/>
      <c r="AP123" s="389"/>
      <c r="AQ123" s="389"/>
      <c r="AR123" s="389"/>
      <c r="AS123" s="389"/>
      <c r="AT123" s="389"/>
      <c r="AU123" s="389"/>
      <c r="AV123" s="389"/>
      <c r="AW123" s="389"/>
      <c r="AX123" s="389"/>
    </row>
    <row r="124" spans="1:50" x14ac:dyDescent="0.25">
      <c r="A124" s="387"/>
      <c r="B124" s="387"/>
      <c r="C124" s="387"/>
      <c r="D124" s="387"/>
      <c r="E124" s="387"/>
      <c r="F124" s="387"/>
      <c r="G124" s="387"/>
      <c r="H124" s="387"/>
      <c r="I124" s="387"/>
      <c r="J124" s="387"/>
      <c r="K124" s="387"/>
      <c r="L124" s="387"/>
      <c r="M124" s="387"/>
      <c r="N124" s="387"/>
      <c r="O124" s="387"/>
      <c r="P124" s="389"/>
      <c r="Q124" s="389"/>
      <c r="R124" s="389"/>
      <c r="S124" s="389"/>
      <c r="T124" s="389"/>
      <c r="U124" s="389"/>
      <c r="V124" s="389"/>
      <c r="W124" s="389"/>
      <c r="X124" s="389"/>
      <c r="Y124" s="389"/>
      <c r="Z124" s="389"/>
      <c r="AA124" s="389"/>
      <c r="AB124" s="389"/>
      <c r="AC124" s="389"/>
      <c r="AD124" s="389"/>
      <c r="AE124" s="389"/>
      <c r="AF124" s="389"/>
      <c r="AG124" s="389"/>
      <c r="AH124" s="389"/>
      <c r="AI124" s="389"/>
      <c r="AJ124" s="389"/>
      <c r="AK124" s="389"/>
      <c r="AL124" s="389"/>
      <c r="AM124" s="389"/>
      <c r="AN124" s="389"/>
      <c r="AO124" s="389"/>
      <c r="AP124" s="389"/>
      <c r="AQ124" s="389"/>
      <c r="AR124" s="389"/>
      <c r="AS124" s="389"/>
      <c r="AT124" s="389"/>
      <c r="AU124" s="389"/>
      <c r="AV124" s="389"/>
      <c r="AW124" s="389"/>
      <c r="AX124" s="389"/>
    </row>
    <row r="125" spans="1:50" x14ac:dyDescent="0.25">
      <c r="A125" s="387"/>
      <c r="B125" s="387"/>
      <c r="C125" s="387"/>
      <c r="D125" s="387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87"/>
      <c r="P125" s="389"/>
      <c r="Q125" s="389"/>
      <c r="R125" s="389"/>
      <c r="S125" s="389"/>
      <c r="T125" s="389"/>
      <c r="U125" s="389"/>
      <c r="V125" s="389"/>
      <c r="W125" s="389"/>
      <c r="X125" s="389"/>
      <c r="Y125" s="389"/>
      <c r="Z125" s="389"/>
      <c r="AA125" s="389"/>
      <c r="AB125" s="389"/>
      <c r="AC125" s="389"/>
      <c r="AD125" s="389"/>
      <c r="AE125" s="389"/>
      <c r="AF125" s="389"/>
      <c r="AG125" s="389"/>
      <c r="AH125" s="389"/>
      <c r="AI125" s="389"/>
      <c r="AJ125" s="389"/>
      <c r="AK125" s="389"/>
      <c r="AL125" s="389"/>
      <c r="AM125" s="389"/>
      <c r="AN125" s="389"/>
      <c r="AO125" s="389"/>
      <c r="AP125" s="389"/>
      <c r="AQ125" s="389"/>
      <c r="AR125" s="389"/>
      <c r="AS125" s="389"/>
      <c r="AT125" s="389"/>
      <c r="AU125" s="389"/>
      <c r="AV125" s="389"/>
      <c r="AW125" s="389"/>
      <c r="AX125" s="389"/>
    </row>
    <row r="126" spans="1:50" x14ac:dyDescent="0.25">
      <c r="A126" s="387"/>
      <c r="B126" s="387"/>
      <c r="C126" s="387"/>
      <c r="D126" s="387"/>
      <c r="E126" s="387"/>
      <c r="F126" s="387"/>
      <c r="G126" s="387"/>
      <c r="H126" s="387"/>
      <c r="I126" s="387"/>
      <c r="J126" s="387"/>
      <c r="K126" s="387"/>
      <c r="L126" s="387"/>
      <c r="M126" s="387"/>
      <c r="N126" s="387"/>
      <c r="O126" s="387"/>
      <c r="P126" s="389"/>
      <c r="Q126" s="389"/>
      <c r="R126" s="389"/>
      <c r="S126" s="389"/>
      <c r="T126" s="389"/>
      <c r="U126" s="389"/>
      <c r="V126" s="389"/>
      <c r="W126" s="389"/>
      <c r="X126" s="389"/>
      <c r="Y126" s="389"/>
      <c r="Z126" s="389"/>
      <c r="AA126" s="389"/>
      <c r="AB126" s="389"/>
      <c r="AC126" s="389"/>
      <c r="AD126" s="389"/>
      <c r="AE126" s="389"/>
      <c r="AF126" s="389"/>
      <c r="AG126" s="389"/>
      <c r="AH126" s="389"/>
      <c r="AI126" s="389"/>
      <c r="AJ126" s="389"/>
      <c r="AK126" s="389"/>
      <c r="AL126" s="389"/>
      <c r="AM126" s="389"/>
      <c r="AN126" s="389"/>
      <c r="AO126" s="389"/>
      <c r="AP126" s="389"/>
      <c r="AQ126" s="389"/>
      <c r="AR126" s="389"/>
      <c r="AS126" s="389"/>
      <c r="AT126" s="389"/>
      <c r="AU126" s="389"/>
      <c r="AV126" s="389"/>
      <c r="AW126" s="389"/>
      <c r="AX126" s="389"/>
    </row>
    <row r="127" spans="1:50" x14ac:dyDescent="0.25">
      <c r="A127" s="387"/>
      <c r="B127" s="387"/>
      <c r="C127" s="387"/>
      <c r="D127" s="387"/>
      <c r="E127" s="387"/>
      <c r="F127" s="387"/>
      <c r="G127" s="387"/>
      <c r="H127" s="387"/>
      <c r="I127" s="387"/>
      <c r="J127" s="387"/>
      <c r="K127" s="387"/>
      <c r="L127" s="387"/>
      <c r="M127" s="387"/>
      <c r="N127" s="387"/>
      <c r="O127" s="387"/>
      <c r="P127" s="389"/>
      <c r="Q127" s="389"/>
      <c r="R127" s="389"/>
      <c r="S127" s="389"/>
      <c r="T127" s="389"/>
      <c r="U127" s="389"/>
      <c r="V127" s="389"/>
      <c r="W127" s="389"/>
      <c r="X127" s="389"/>
      <c r="Y127" s="389"/>
      <c r="Z127" s="389"/>
      <c r="AA127" s="389"/>
      <c r="AB127" s="389"/>
      <c r="AC127" s="389"/>
      <c r="AD127" s="389"/>
      <c r="AE127" s="389"/>
      <c r="AF127" s="389"/>
      <c r="AG127" s="389"/>
      <c r="AH127" s="389"/>
      <c r="AI127" s="389"/>
      <c r="AJ127" s="389"/>
      <c r="AK127" s="389"/>
      <c r="AL127" s="389"/>
      <c r="AM127" s="389"/>
      <c r="AN127" s="389"/>
      <c r="AO127" s="389"/>
      <c r="AP127" s="389"/>
      <c r="AQ127" s="389"/>
      <c r="AR127" s="389"/>
      <c r="AS127" s="389"/>
      <c r="AT127" s="389"/>
      <c r="AU127" s="389"/>
      <c r="AV127" s="389"/>
      <c r="AW127" s="389"/>
      <c r="AX127" s="389"/>
    </row>
    <row r="128" spans="1:50" x14ac:dyDescent="0.25">
      <c r="A128" s="387"/>
      <c r="B128" s="387"/>
      <c r="C128" s="387"/>
      <c r="D128" s="387"/>
      <c r="E128" s="387"/>
      <c r="F128" s="387"/>
      <c r="G128" s="387"/>
      <c r="H128" s="387"/>
      <c r="I128" s="387"/>
      <c r="J128" s="387"/>
      <c r="K128" s="387"/>
      <c r="L128" s="387"/>
      <c r="M128" s="387"/>
      <c r="N128" s="387"/>
      <c r="O128" s="387"/>
      <c r="P128" s="389"/>
      <c r="Q128" s="389"/>
      <c r="R128" s="389"/>
      <c r="S128" s="389"/>
      <c r="T128" s="389"/>
      <c r="U128" s="389"/>
      <c r="V128" s="389"/>
      <c r="W128" s="389"/>
      <c r="X128" s="389"/>
      <c r="Y128" s="389"/>
      <c r="Z128" s="389"/>
      <c r="AA128" s="389"/>
      <c r="AB128" s="389"/>
      <c r="AC128" s="389"/>
      <c r="AD128" s="389"/>
      <c r="AE128" s="389"/>
      <c r="AF128" s="389"/>
      <c r="AG128" s="389"/>
      <c r="AH128" s="389"/>
      <c r="AI128" s="389"/>
      <c r="AJ128" s="389"/>
      <c r="AK128" s="389"/>
      <c r="AL128" s="389"/>
      <c r="AM128" s="389"/>
      <c r="AN128" s="389"/>
      <c r="AO128" s="389"/>
      <c r="AP128" s="389"/>
      <c r="AQ128" s="389"/>
      <c r="AR128" s="389"/>
      <c r="AS128" s="389"/>
      <c r="AT128" s="389"/>
      <c r="AU128" s="389"/>
      <c r="AV128" s="389"/>
      <c r="AW128" s="389"/>
      <c r="AX128" s="389"/>
    </row>
    <row r="129" spans="1:50" x14ac:dyDescent="0.25">
      <c r="A129" s="387"/>
      <c r="B129" s="387"/>
      <c r="C129" s="387"/>
      <c r="D129" s="387"/>
      <c r="E129" s="387"/>
      <c r="F129" s="387"/>
      <c r="G129" s="387"/>
      <c r="H129" s="387"/>
      <c r="I129" s="387"/>
      <c r="J129" s="387"/>
      <c r="K129" s="387"/>
      <c r="L129" s="387"/>
      <c r="M129" s="387"/>
      <c r="N129" s="387"/>
      <c r="O129" s="387"/>
      <c r="P129" s="389"/>
      <c r="Q129" s="389"/>
      <c r="R129" s="389"/>
      <c r="S129" s="389"/>
      <c r="T129" s="389"/>
      <c r="U129" s="389"/>
      <c r="V129" s="389"/>
      <c r="W129" s="389"/>
      <c r="X129" s="389"/>
      <c r="Y129" s="389"/>
      <c r="Z129" s="389"/>
      <c r="AA129" s="389"/>
      <c r="AB129" s="389"/>
      <c r="AC129" s="389"/>
      <c r="AD129" s="389"/>
      <c r="AE129" s="389"/>
      <c r="AF129" s="389"/>
      <c r="AG129" s="389"/>
      <c r="AH129" s="389"/>
      <c r="AI129" s="389"/>
      <c r="AJ129" s="389"/>
      <c r="AK129" s="389"/>
      <c r="AL129" s="389"/>
      <c r="AM129" s="389"/>
      <c r="AN129" s="389"/>
      <c r="AO129" s="389"/>
      <c r="AP129" s="389"/>
      <c r="AQ129" s="389"/>
      <c r="AR129" s="389"/>
      <c r="AS129" s="389"/>
      <c r="AT129" s="389"/>
      <c r="AU129" s="389"/>
      <c r="AV129" s="389"/>
      <c r="AW129" s="389"/>
      <c r="AX129" s="389"/>
    </row>
    <row r="130" spans="1:50" x14ac:dyDescent="0.25">
      <c r="A130" s="387"/>
      <c r="B130" s="387"/>
      <c r="C130" s="387"/>
      <c r="D130" s="387"/>
      <c r="E130" s="387"/>
      <c r="F130" s="387"/>
      <c r="G130" s="387"/>
      <c r="H130" s="387"/>
      <c r="I130" s="387"/>
      <c r="J130" s="387"/>
      <c r="K130" s="387"/>
      <c r="L130" s="387"/>
      <c r="M130" s="387"/>
      <c r="N130" s="387"/>
      <c r="O130" s="387"/>
      <c r="P130" s="389"/>
      <c r="Q130" s="389"/>
      <c r="R130" s="389"/>
      <c r="S130" s="389"/>
      <c r="T130" s="389"/>
      <c r="U130" s="389"/>
      <c r="V130" s="389"/>
      <c r="W130" s="389"/>
      <c r="X130" s="389"/>
      <c r="Y130" s="389"/>
      <c r="Z130" s="389"/>
      <c r="AA130" s="389"/>
      <c r="AB130" s="389"/>
      <c r="AC130" s="389"/>
      <c r="AD130" s="389"/>
      <c r="AE130" s="389"/>
      <c r="AF130" s="389"/>
      <c r="AG130" s="389"/>
      <c r="AH130" s="389"/>
      <c r="AI130" s="389"/>
      <c r="AJ130" s="389"/>
      <c r="AK130" s="389"/>
      <c r="AL130" s="389"/>
      <c r="AM130" s="389"/>
      <c r="AN130" s="389"/>
      <c r="AO130" s="389"/>
      <c r="AP130" s="389"/>
      <c r="AQ130" s="389"/>
      <c r="AR130" s="389"/>
      <c r="AS130" s="389"/>
      <c r="AT130" s="389"/>
      <c r="AU130" s="389"/>
      <c r="AV130" s="389"/>
      <c r="AW130" s="389"/>
      <c r="AX130" s="389"/>
    </row>
    <row r="131" spans="1:50" x14ac:dyDescent="0.25">
      <c r="A131" s="387"/>
      <c r="B131" s="387"/>
      <c r="C131" s="387"/>
      <c r="D131" s="387"/>
      <c r="E131" s="387"/>
      <c r="F131" s="387"/>
      <c r="G131" s="387"/>
      <c r="H131" s="387"/>
      <c r="I131" s="387"/>
      <c r="J131" s="387"/>
      <c r="K131" s="387"/>
      <c r="L131" s="387"/>
      <c r="M131" s="387"/>
      <c r="N131" s="387"/>
      <c r="O131" s="387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  <c r="AA131" s="389"/>
      <c r="AB131" s="389"/>
      <c r="AC131" s="389"/>
      <c r="AD131" s="389"/>
      <c r="AE131" s="389"/>
      <c r="AF131" s="389"/>
      <c r="AG131" s="389"/>
      <c r="AH131" s="389"/>
      <c r="AI131" s="389"/>
      <c r="AJ131" s="389"/>
      <c r="AK131" s="389"/>
      <c r="AL131" s="389"/>
      <c r="AM131" s="389"/>
      <c r="AN131" s="389"/>
      <c r="AO131" s="389"/>
      <c r="AP131" s="389"/>
      <c r="AQ131" s="389"/>
      <c r="AR131" s="389"/>
      <c r="AS131" s="389"/>
      <c r="AT131" s="389"/>
      <c r="AU131" s="389"/>
      <c r="AV131" s="389"/>
      <c r="AW131" s="389"/>
      <c r="AX131" s="389"/>
    </row>
    <row r="132" spans="1:50" x14ac:dyDescent="0.25">
      <c r="A132" s="387"/>
      <c r="B132" s="387"/>
      <c r="C132" s="387"/>
      <c r="D132" s="387"/>
      <c r="E132" s="387"/>
      <c r="F132" s="387"/>
      <c r="G132" s="387"/>
      <c r="H132" s="387"/>
      <c r="I132" s="387"/>
      <c r="J132" s="387"/>
      <c r="K132" s="387"/>
      <c r="L132" s="387"/>
      <c r="M132" s="387"/>
      <c r="N132" s="387"/>
      <c r="O132" s="387"/>
      <c r="P132" s="389"/>
      <c r="Q132" s="389"/>
      <c r="R132" s="389"/>
      <c r="S132" s="389"/>
      <c r="T132" s="389"/>
      <c r="U132" s="389"/>
      <c r="V132" s="389"/>
      <c r="W132" s="389"/>
      <c r="X132" s="389"/>
      <c r="Y132" s="389"/>
      <c r="Z132" s="389"/>
      <c r="AA132" s="389"/>
      <c r="AB132" s="389"/>
      <c r="AC132" s="389"/>
      <c r="AD132" s="389"/>
      <c r="AE132" s="389"/>
      <c r="AF132" s="389"/>
      <c r="AG132" s="389"/>
      <c r="AH132" s="389"/>
      <c r="AI132" s="389"/>
      <c r="AJ132" s="389"/>
      <c r="AK132" s="389"/>
      <c r="AL132" s="389"/>
      <c r="AM132" s="389"/>
      <c r="AN132" s="389"/>
      <c r="AO132" s="389"/>
      <c r="AP132" s="389"/>
      <c r="AQ132" s="389"/>
      <c r="AR132" s="389"/>
      <c r="AS132" s="389"/>
      <c r="AT132" s="389"/>
      <c r="AU132" s="389"/>
      <c r="AV132" s="389"/>
      <c r="AW132" s="389"/>
      <c r="AX132" s="389"/>
    </row>
    <row r="133" spans="1:50" x14ac:dyDescent="0.25">
      <c r="A133" s="387"/>
      <c r="B133" s="387"/>
      <c r="C133" s="387"/>
      <c r="D133" s="387"/>
      <c r="E133" s="387"/>
      <c r="F133" s="387"/>
      <c r="G133" s="387"/>
      <c r="H133" s="387"/>
      <c r="I133" s="387"/>
      <c r="J133" s="387"/>
      <c r="K133" s="387"/>
      <c r="L133" s="387"/>
      <c r="M133" s="387"/>
      <c r="N133" s="387"/>
      <c r="O133" s="387"/>
      <c r="P133" s="389"/>
      <c r="Q133" s="389"/>
      <c r="R133" s="389"/>
      <c r="S133" s="389"/>
      <c r="T133" s="389"/>
      <c r="U133" s="389"/>
      <c r="V133" s="389"/>
      <c r="W133" s="389"/>
      <c r="X133" s="389"/>
      <c r="Y133" s="389"/>
      <c r="Z133" s="389"/>
      <c r="AA133" s="389"/>
      <c r="AB133" s="389"/>
      <c r="AC133" s="389"/>
      <c r="AD133" s="389"/>
      <c r="AE133" s="389"/>
      <c r="AF133" s="389"/>
      <c r="AG133" s="389"/>
      <c r="AH133" s="389"/>
      <c r="AI133" s="389"/>
      <c r="AJ133" s="389"/>
      <c r="AK133" s="389"/>
      <c r="AL133" s="389"/>
      <c r="AM133" s="389"/>
      <c r="AN133" s="389"/>
      <c r="AO133" s="389"/>
      <c r="AP133" s="389"/>
      <c r="AQ133" s="389"/>
      <c r="AR133" s="389"/>
      <c r="AS133" s="389"/>
      <c r="AT133" s="389"/>
      <c r="AU133" s="389"/>
      <c r="AV133" s="389"/>
      <c r="AW133" s="389"/>
      <c r="AX133" s="389"/>
    </row>
    <row r="134" spans="1:50" x14ac:dyDescent="0.25">
      <c r="A134" s="387"/>
      <c r="B134" s="387"/>
      <c r="C134" s="387"/>
      <c r="D134" s="387"/>
      <c r="E134" s="387"/>
      <c r="F134" s="387"/>
      <c r="G134" s="387"/>
      <c r="H134" s="387"/>
      <c r="I134" s="387"/>
      <c r="J134" s="387"/>
      <c r="K134" s="387"/>
      <c r="L134" s="387"/>
      <c r="M134" s="387"/>
      <c r="N134" s="387"/>
      <c r="O134" s="387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C134" s="389"/>
      <c r="AD134" s="389"/>
      <c r="AE134" s="389"/>
      <c r="AF134" s="389"/>
      <c r="AG134" s="389"/>
      <c r="AH134" s="389"/>
      <c r="AI134" s="389"/>
      <c r="AJ134" s="389"/>
      <c r="AK134" s="389"/>
      <c r="AL134" s="389"/>
      <c r="AM134" s="389"/>
      <c r="AN134" s="389"/>
      <c r="AO134" s="389"/>
      <c r="AP134" s="389"/>
      <c r="AQ134" s="389"/>
      <c r="AR134" s="389"/>
      <c r="AS134" s="389"/>
      <c r="AT134" s="389"/>
      <c r="AU134" s="389"/>
      <c r="AV134" s="389"/>
      <c r="AW134" s="389"/>
      <c r="AX134" s="389"/>
    </row>
    <row r="135" spans="1:50" x14ac:dyDescent="0.25">
      <c r="A135" s="387"/>
      <c r="B135" s="387"/>
      <c r="C135" s="387"/>
      <c r="D135" s="387"/>
      <c r="E135" s="387"/>
      <c r="F135" s="387"/>
      <c r="G135" s="387"/>
      <c r="H135" s="387"/>
      <c r="I135" s="387"/>
      <c r="J135" s="387"/>
      <c r="K135" s="387"/>
      <c r="L135" s="387"/>
      <c r="M135" s="387"/>
      <c r="N135" s="387"/>
      <c r="O135" s="387"/>
      <c r="P135" s="389"/>
      <c r="Q135" s="389"/>
      <c r="R135" s="389"/>
      <c r="S135" s="389"/>
      <c r="T135" s="389"/>
      <c r="U135" s="389"/>
      <c r="V135" s="389"/>
      <c r="W135" s="389"/>
      <c r="X135" s="389"/>
      <c r="Y135" s="389"/>
      <c r="Z135" s="389"/>
      <c r="AA135" s="389"/>
      <c r="AB135" s="389"/>
      <c r="AC135" s="389"/>
      <c r="AD135" s="389"/>
      <c r="AE135" s="389"/>
      <c r="AF135" s="389"/>
      <c r="AG135" s="389"/>
      <c r="AH135" s="389"/>
      <c r="AI135" s="389"/>
      <c r="AJ135" s="389"/>
      <c r="AK135" s="389"/>
      <c r="AL135" s="389"/>
      <c r="AM135" s="389"/>
      <c r="AN135" s="389"/>
      <c r="AO135" s="389"/>
      <c r="AP135" s="389"/>
      <c r="AQ135" s="389"/>
      <c r="AR135" s="389"/>
      <c r="AS135" s="389"/>
      <c r="AT135" s="389"/>
      <c r="AU135" s="389"/>
      <c r="AV135" s="389"/>
      <c r="AW135" s="389"/>
      <c r="AX135" s="389"/>
    </row>
    <row r="136" spans="1:50" x14ac:dyDescent="0.25">
      <c r="A136" s="387"/>
      <c r="B136" s="387"/>
      <c r="C136" s="387"/>
      <c r="D136" s="387"/>
      <c r="E136" s="387"/>
      <c r="F136" s="387"/>
      <c r="G136" s="387"/>
      <c r="H136" s="387"/>
      <c r="I136" s="387"/>
      <c r="J136" s="387"/>
      <c r="K136" s="387"/>
      <c r="L136" s="387"/>
      <c r="M136" s="387"/>
      <c r="N136" s="387"/>
      <c r="O136" s="387"/>
      <c r="P136" s="389"/>
      <c r="Q136" s="389"/>
      <c r="R136" s="389"/>
      <c r="S136" s="389"/>
      <c r="T136" s="389"/>
      <c r="U136" s="389"/>
      <c r="V136" s="389"/>
      <c r="W136" s="389"/>
      <c r="X136" s="389"/>
      <c r="Y136" s="389"/>
      <c r="Z136" s="389"/>
      <c r="AA136" s="389"/>
      <c r="AB136" s="389"/>
      <c r="AC136" s="389"/>
      <c r="AD136" s="389"/>
      <c r="AE136" s="389"/>
      <c r="AF136" s="389"/>
      <c r="AG136" s="389"/>
      <c r="AH136" s="389"/>
      <c r="AI136" s="389"/>
      <c r="AJ136" s="389"/>
      <c r="AK136" s="389"/>
      <c r="AL136" s="389"/>
      <c r="AM136" s="389"/>
      <c r="AN136" s="389"/>
      <c r="AO136" s="389"/>
      <c r="AP136" s="389"/>
      <c r="AQ136" s="389"/>
      <c r="AR136" s="389"/>
      <c r="AS136" s="389"/>
      <c r="AT136" s="389"/>
      <c r="AU136" s="389"/>
      <c r="AV136" s="389"/>
      <c r="AW136" s="389"/>
      <c r="AX136" s="389"/>
    </row>
    <row r="137" spans="1:50" x14ac:dyDescent="0.25">
      <c r="A137" s="387"/>
      <c r="B137" s="387"/>
      <c r="C137" s="387"/>
      <c r="D137" s="387"/>
      <c r="E137" s="387"/>
      <c r="F137" s="387"/>
      <c r="G137" s="387"/>
      <c r="H137" s="387"/>
      <c r="I137" s="387"/>
      <c r="J137" s="387"/>
      <c r="K137" s="387"/>
      <c r="L137" s="387"/>
      <c r="M137" s="387"/>
      <c r="N137" s="387"/>
      <c r="O137" s="387"/>
      <c r="P137" s="389"/>
      <c r="Q137" s="389"/>
      <c r="R137" s="389"/>
      <c r="S137" s="389"/>
      <c r="T137" s="389"/>
      <c r="U137" s="389"/>
      <c r="V137" s="389"/>
      <c r="W137" s="389"/>
      <c r="X137" s="389"/>
      <c r="Y137" s="389"/>
      <c r="Z137" s="389"/>
      <c r="AA137" s="389"/>
      <c r="AB137" s="389"/>
      <c r="AC137" s="389"/>
      <c r="AD137" s="389"/>
      <c r="AE137" s="389"/>
      <c r="AF137" s="389"/>
      <c r="AG137" s="389"/>
      <c r="AH137" s="389"/>
      <c r="AI137" s="389"/>
      <c r="AJ137" s="389"/>
      <c r="AK137" s="389"/>
      <c r="AL137" s="389"/>
      <c r="AM137" s="389"/>
      <c r="AN137" s="389"/>
      <c r="AO137" s="389"/>
      <c r="AP137" s="389"/>
      <c r="AQ137" s="389"/>
      <c r="AR137" s="389"/>
      <c r="AS137" s="389"/>
      <c r="AT137" s="389"/>
      <c r="AU137" s="389"/>
      <c r="AV137" s="389"/>
      <c r="AW137" s="389"/>
      <c r="AX137" s="389"/>
    </row>
    <row r="138" spans="1:50" x14ac:dyDescent="0.25">
      <c r="A138" s="387"/>
      <c r="B138" s="387"/>
      <c r="C138" s="387"/>
      <c r="D138" s="387"/>
      <c r="E138" s="387"/>
      <c r="F138" s="387"/>
      <c r="G138" s="387"/>
      <c r="H138" s="387"/>
      <c r="I138" s="387"/>
      <c r="J138" s="387"/>
      <c r="K138" s="387"/>
      <c r="L138" s="387"/>
      <c r="M138" s="387"/>
      <c r="N138" s="387"/>
      <c r="O138" s="387"/>
      <c r="P138" s="389"/>
      <c r="Q138" s="389"/>
      <c r="R138" s="389"/>
      <c r="S138" s="389"/>
      <c r="T138" s="389"/>
      <c r="U138" s="389"/>
      <c r="V138" s="389"/>
      <c r="W138" s="389"/>
      <c r="X138" s="389"/>
      <c r="Y138" s="389"/>
      <c r="Z138" s="389"/>
      <c r="AA138" s="389"/>
      <c r="AB138" s="389"/>
      <c r="AC138" s="389"/>
      <c r="AD138" s="389"/>
      <c r="AE138" s="389"/>
      <c r="AF138" s="389"/>
      <c r="AG138" s="389"/>
      <c r="AH138" s="389"/>
      <c r="AI138" s="389"/>
      <c r="AJ138" s="389"/>
      <c r="AK138" s="389"/>
      <c r="AL138" s="389"/>
      <c r="AM138" s="389"/>
      <c r="AN138" s="389"/>
      <c r="AO138" s="389"/>
      <c r="AP138" s="389"/>
      <c r="AQ138" s="389"/>
      <c r="AR138" s="389"/>
      <c r="AS138" s="389"/>
      <c r="AT138" s="389"/>
      <c r="AU138" s="389"/>
      <c r="AV138" s="389"/>
      <c r="AW138" s="389"/>
      <c r="AX138" s="389"/>
    </row>
    <row r="139" spans="1:50" x14ac:dyDescent="0.25">
      <c r="A139" s="387"/>
      <c r="B139" s="387"/>
      <c r="C139" s="387"/>
      <c r="D139" s="387"/>
      <c r="E139" s="387"/>
      <c r="F139" s="387"/>
      <c r="G139" s="387"/>
      <c r="H139" s="387"/>
      <c r="I139" s="387"/>
      <c r="J139" s="387"/>
      <c r="K139" s="387"/>
      <c r="L139" s="387"/>
      <c r="M139" s="387"/>
      <c r="N139" s="387"/>
      <c r="O139" s="387"/>
      <c r="P139" s="389"/>
      <c r="Q139" s="389"/>
      <c r="R139" s="389"/>
      <c r="S139" s="389"/>
      <c r="T139" s="389"/>
      <c r="U139" s="389"/>
      <c r="V139" s="389"/>
      <c r="W139" s="389"/>
      <c r="X139" s="389"/>
      <c r="Y139" s="389"/>
      <c r="Z139" s="389"/>
      <c r="AA139" s="389"/>
      <c r="AB139" s="389"/>
      <c r="AC139" s="389"/>
      <c r="AD139" s="389"/>
      <c r="AE139" s="389"/>
      <c r="AF139" s="389"/>
      <c r="AG139" s="389"/>
      <c r="AH139" s="389"/>
      <c r="AI139" s="389"/>
      <c r="AJ139" s="389"/>
      <c r="AK139" s="389"/>
      <c r="AL139" s="389"/>
      <c r="AM139" s="389"/>
      <c r="AN139" s="389"/>
      <c r="AO139" s="389"/>
      <c r="AP139" s="389"/>
      <c r="AQ139" s="389"/>
      <c r="AR139" s="389"/>
      <c r="AS139" s="389"/>
      <c r="AT139" s="389"/>
      <c r="AU139" s="389"/>
      <c r="AV139" s="389"/>
      <c r="AW139" s="389"/>
      <c r="AX139" s="389"/>
    </row>
    <row r="140" spans="1:50" x14ac:dyDescent="0.25">
      <c r="A140" s="387"/>
      <c r="B140" s="387"/>
      <c r="C140" s="387"/>
      <c r="D140" s="387"/>
      <c r="E140" s="387"/>
      <c r="F140" s="387"/>
      <c r="G140" s="387"/>
      <c r="H140" s="387"/>
      <c r="I140" s="387"/>
      <c r="J140" s="387"/>
      <c r="K140" s="387"/>
      <c r="L140" s="387"/>
      <c r="M140" s="387"/>
      <c r="N140" s="387"/>
      <c r="O140" s="387"/>
      <c r="P140" s="389"/>
      <c r="Q140" s="389"/>
      <c r="R140" s="389"/>
      <c r="S140" s="389"/>
      <c r="T140" s="389"/>
      <c r="U140" s="389"/>
      <c r="V140" s="389"/>
      <c r="W140" s="389"/>
      <c r="X140" s="389"/>
      <c r="Y140" s="389"/>
      <c r="Z140" s="389"/>
      <c r="AA140" s="389"/>
      <c r="AB140" s="389"/>
      <c r="AC140" s="389"/>
      <c r="AD140" s="389"/>
      <c r="AE140" s="389"/>
      <c r="AF140" s="389"/>
      <c r="AG140" s="389"/>
      <c r="AH140" s="389"/>
      <c r="AI140" s="389"/>
      <c r="AJ140" s="389"/>
      <c r="AK140" s="389"/>
      <c r="AL140" s="389"/>
      <c r="AM140" s="389"/>
      <c r="AN140" s="389"/>
      <c r="AO140" s="389"/>
      <c r="AP140" s="389"/>
      <c r="AQ140" s="389"/>
      <c r="AR140" s="389"/>
      <c r="AS140" s="389"/>
      <c r="AT140" s="389"/>
      <c r="AU140" s="389"/>
      <c r="AV140" s="389"/>
      <c r="AW140" s="389"/>
      <c r="AX140" s="389"/>
    </row>
    <row r="141" spans="1:50" x14ac:dyDescent="0.25">
      <c r="A141" s="387"/>
      <c r="B141" s="387"/>
      <c r="C141" s="387"/>
      <c r="D141" s="387"/>
      <c r="E141" s="387"/>
      <c r="F141" s="387"/>
      <c r="G141" s="387"/>
      <c r="H141" s="387"/>
      <c r="I141" s="387"/>
      <c r="J141" s="387"/>
      <c r="K141" s="387"/>
      <c r="L141" s="387"/>
      <c r="M141" s="387"/>
      <c r="N141" s="387"/>
      <c r="O141" s="387"/>
      <c r="P141" s="389"/>
      <c r="Q141" s="389"/>
      <c r="R141" s="389"/>
      <c r="S141" s="389"/>
      <c r="T141" s="389"/>
      <c r="U141" s="389"/>
      <c r="V141" s="389"/>
      <c r="W141" s="389"/>
      <c r="X141" s="389"/>
      <c r="Y141" s="389"/>
      <c r="Z141" s="389"/>
      <c r="AA141" s="389"/>
      <c r="AB141" s="389"/>
      <c r="AC141" s="389"/>
      <c r="AD141" s="389"/>
      <c r="AE141" s="389"/>
      <c r="AF141" s="389"/>
      <c r="AG141" s="389"/>
      <c r="AH141" s="389"/>
      <c r="AI141" s="389"/>
      <c r="AJ141" s="389"/>
      <c r="AK141" s="389"/>
      <c r="AL141" s="389"/>
      <c r="AM141" s="389"/>
      <c r="AN141" s="389"/>
      <c r="AO141" s="389"/>
      <c r="AP141" s="389"/>
      <c r="AQ141" s="389"/>
      <c r="AR141" s="389"/>
      <c r="AS141" s="389"/>
      <c r="AT141" s="389"/>
      <c r="AU141" s="389"/>
      <c r="AV141" s="389"/>
      <c r="AW141" s="389"/>
      <c r="AX141" s="389"/>
    </row>
    <row r="142" spans="1:50" x14ac:dyDescent="0.25">
      <c r="A142" s="387"/>
      <c r="B142" s="387"/>
      <c r="C142" s="387"/>
      <c r="D142" s="387"/>
      <c r="E142" s="387"/>
      <c r="F142" s="387"/>
      <c r="G142" s="387"/>
      <c r="H142" s="387"/>
      <c r="I142" s="387"/>
      <c r="J142" s="387"/>
      <c r="K142" s="387"/>
      <c r="L142" s="387"/>
      <c r="M142" s="387"/>
      <c r="N142" s="387"/>
      <c r="O142" s="387"/>
      <c r="P142" s="389"/>
      <c r="Q142" s="389"/>
      <c r="R142" s="389"/>
      <c r="S142" s="389"/>
      <c r="T142" s="389"/>
      <c r="U142" s="389"/>
      <c r="V142" s="389"/>
      <c r="W142" s="389"/>
      <c r="X142" s="389"/>
      <c r="Y142" s="389"/>
      <c r="Z142" s="389"/>
      <c r="AA142" s="389"/>
      <c r="AB142" s="389"/>
      <c r="AC142" s="389"/>
      <c r="AD142" s="389"/>
      <c r="AE142" s="389"/>
      <c r="AF142" s="389"/>
      <c r="AG142" s="389"/>
      <c r="AH142" s="389"/>
      <c r="AI142" s="389"/>
      <c r="AJ142" s="389"/>
      <c r="AK142" s="389"/>
      <c r="AL142" s="389"/>
      <c r="AM142" s="389"/>
      <c r="AN142" s="389"/>
      <c r="AO142" s="389"/>
      <c r="AP142" s="389"/>
      <c r="AQ142" s="389"/>
      <c r="AR142" s="389"/>
      <c r="AS142" s="389"/>
      <c r="AT142" s="389"/>
      <c r="AU142" s="389"/>
      <c r="AV142" s="389"/>
      <c r="AW142" s="389"/>
      <c r="AX142" s="389"/>
    </row>
    <row r="143" spans="1:50" x14ac:dyDescent="0.25">
      <c r="A143" s="387"/>
      <c r="B143" s="387"/>
      <c r="C143" s="387"/>
      <c r="D143" s="387"/>
      <c r="E143" s="387"/>
      <c r="F143" s="387"/>
      <c r="G143" s="387"/>
      <c r="H143" s="387"/>
      <c r="I143" s="387"/>
      <c r="J143" s="387"/>
      <c r="K143" s="387"/>
      <c r="L143" s="387"/>
      <c r="M143" s="387"/>
      <c r="N143" s="387"/>
      <c r="O143" s="387"/>
      <c r="P143" s="389"/>
      <c r="Q143" s="389"/>
      <c r="R143" s="389"/>
      <c r="S143" s="389"/>
      <c r="T143" s="389"/>
      <c r="U143" s="389"/>
      <c r="V143" s="389"/>
      <c r="W143" s="389"/>
      <c r="X143" s="389"/>
      <c r="Y143" s="389"/>
      <c r="Z143" s="389"/>
      <c r="AA143" s="389"/>
      <c r="AB143" s="389"/>
      <c r="AC143" s="389"/>
      <c r="AD143" s="389"/>
      <c r="AE143" s="389"/>
      <c r="AF143" s="389"/>
      <c r="AG143" s="389"/>
      <c r="AH143" s="389"/>
      <c r="AI143" s="389"/>
      <c r="AJ143" s="389"/>
      <c r="AK143" s="389"/>
      <c r="AL143" s="389"/>
      <c r="AM143" s="389"/>
      <c r="AN143" s="389"/>
      <c r="AO143" s="389"/>
      <c r="AP143" s="389"/>
      <c r="AQ143" s="389"/>
      <c r="AR143" s="389"/>
      <c r="AS143" s="389"/>
      <c r="AT143" s="389"/>
      <c r="AU143" s="389"/>
      <c r="AV143" s="389"/>
      <c r="AW143" s="389"/>
      <c r="AX143" s="389"/>
    </row>
    <row r="144" spans="1:50" x14ac:dyDescent="0.25">
      <c r="A144" s="387"/>
      <c r="B144" s="387"/>
      <c r="C144" s="387"/>
      <c r="D144" s="387"/>
      <c r="E144" s="387"/>
      <c r="F144" s="387"/>
      <c r="G144" s="387"/>
      <c r="H144" s="387"/>
      <c r="I144" s="387"/>
      <c r="J144" s="387"/>
      <c r="K144" s="387"/>
      <c r="L144" s="387"/>
      <c r="M144" s="387"/>
      <c r="N144" s="387"/>
      <c r="O144" s="387"/>
      <c r="P144" s="389"/>
      <c r="Q144" s="389"/>
      <c r="R144" s="389"/>
      <c r="S144" s="389"/>
      <c r="T144" s="389"/>
      <c r="U144" s="389"/>
      <c r="V144" s="389"/>
      <c r="W144" s="389"/>
      <c r="X144" s="389"/>
      <c r="Y144" s="389"/>
      <c r="Z144" s="389"/>
      <c r="AA144" s="389"/>
      <c r="AB144" s="389"/>
      <c r="AC144" s="389"/>
      <c r="AD144" s="389"/>
      <c r="AE144" s="389"/>
      <c r="AF144" s="389"/>
      <c r="AG144" s="389"/>
      <c r="AH144" s="389"/>
      <c r="AI144" s="389"/>
      <c r="AJ144" s="389"/>
      <c r="AK144" s="389"/>
      <c r="AL144" s="389"/>
      <c r="AM144" s="389"/>
      <c r="AN144" s="389"/>
      <c r="AO144" s="389"/>
      <c r="AP144" s="389"/>
      <c r="AQ144" s="389"/>
      <c r="AR144" s="389"/>
      <c r="AS144" s="389"/>
      <c r="AT144" s="389"/>
      <c r="AU144" s="389"/>
      <c r="AV144" s="389"/>
      <c r="AW144" s="389"/>
      <c r="AX144" s="389"/>
    </row>
    <row r="145" spans="1:50" x14ac:dyDescent="0.25">
      <c r="A145" s="387"/>
      <c r="B145" s="387"/>
      <c r="C145" s="387"/>
      <c r="D145" s="387"/>
      <c r="E145" s="387"/>
      <c r="F145" s="387"/>
      <c r="G145" s="387"/>
      <c r="H145" s="387"/>
      <c r="I145" s="387"/>
      <c r="J145" s="387"/>
      <c r="K145" s="387"/>
      <c r="L145" s="387"/>
      <c r="M145" s="387"/>
      <c r="N145" s="387"/>
      <c r="O145" s="387"/>
      <c r="P145" s="389"/>
      <c r="Q145" s="389"/>
      <c r="R145" s="389"/>
      <c r="S145" s="389"/>
      <c r="T145" s="389"/>
      <c r="U145" s="389"/>
      <c r="V145" s="389"/>
      <c r="W145" s="389"/>
      <c r="X145" s="389"/>
      <c r="Y145" s="389"/>
      <c r="Z145" s="389"/>
      <c r="AA145" s="389"/>
      <c r="AB145" s="389"/>
      <c r="AC145" s="389"/>
      <c r="AD145" s="389"/>
      <c r="AE145" s="389"/>
      <c r="AF145" s="389"/>
      <c r="AG145" s="389"/>
      <c r="AH145" s="389"/>
      <c r="AI145" s="389"/>
      <c r="AJ145" s="389"/>
      <c r="AK145" s="389"/>
      <c r="AL145" s="389"/>
      <c r="AM145" s="389"/>
      <c r="AN145" s="389"/>
      <c r="AO145" s="389"/>
      <c r="AP145" s="389"/>
      <c r="AQ145" s="389"/>
      <c r="AR145" s="389"/>
      <c r="AS145" s="389"/>
      <c r="AT145" s="389"/>
      <c r="AU145" s="389"/>
      <c r="AV145" s="389"/>
      <c r="AW145" s="389"/>
      <c r="AX145" s="389"/>
    </row>
    <row r="146" spans="1:50" x14ac:dyDescent="0.25">
      <c r="A146" s="387"/>
      <c r="B146" s="387"/>
      <c r="C146" s="387"/>
      <c r="D146" s="387"/>
      <c r="E146" s="387"/>
      <c r="F146" s="387"/>
      <c r="G146" s="387"/>
      <c r="H146" s="387"/>
      <c r="I146" s="387"/>
      <c r="J146" s="387"/>
      <c r="K146" s="387"/>
      <c r="L146" s="387"/>
      <c r="M146" s="387"/>
      <c r="N146" s="387"/>
      <c r="O146" s="387"/>
      <c r="P146" s="389"/>
      <c r="Q146" s="389"/>
      <c r="R146" s="389"/>
      <c r="S146" s="389"/>
      <c r="T146" s="389"/>
      <c r="U146" s="389"/>
      <c r="V146" s="389"/>
      <c r="W146" s="389"/>
      <c r="X146" s="389"/>
      <c r="Y146" s="389"/>
      <c r="Z146" s="389"/>
      <c r="AA146" s="389"/>
      <c r="AB146" s="389"/>
      <c r="AC146" s="389"/>
      <c r="AD146" s="389"/>
      <c r="AE146" s="389"/>
      <c r="AF146" s="389"/>
      <c r="AG146" s="389"/>
      <c r="AH146" s="389"/>
      <c r="AI146" s="389"/>
      <c r="AJ146" s="389"/>
      <c r="AK146" s="389"/>
      <c r="AL146" s="389"/>
      <c r="AM146" s="389"/>
      <c r="AN146" s="389"/>
      <c r="AO146" s="389"/>
      <c r="AP146" s="389"/>
      <c r="AQ146" s="389"/>
      <c r="AR146" s="389"/>
      <c r="AS146" s="389"/>
      <c r="AT146" s="389"/>
      <c r="AU146" s="389"/>
      <c r="AV146" s="389"/>
      <c r="AW146" s="389"/>
      <c r="AX146" s="389"/>
    </row>
    <row r="147" spans="1:50" x14ac:dyDescent="0.25">
      <c r="A147" s="387"/>
      <c r="B147" s="387"/>
      <c r="C147" s="387"/>
      <c r="D147" s="387"/>
      <c r="E147" s="387"/>
      <c r="F147" s="387"/>
      <c r="G147" s="387"/>
      <c r="H147" s="387"/>
      <c r="I147" s="387"/>
      <c r="J147" s="387"/>
      <c r="K147" s="387"/>
      <c r="L147" s="387"/>
      <c r="M147" s="387"/>
      <c r="N147" s="387"/>
      <c r="O147" s="387"/>
      <c r="P147" s="389"/>
      <c r="Q147" s="389"/>
      <c r="R147" s="389"/>
      <c r="S147" s="389"/>
      <c r="T147" s="389"/>
      <c r="U147" s="389"/>
      <c r="V147" s="389"/>
      <c r="W147" s="389"/>
      <c r="X147" s="389"/>
      <c r="Y147" s="389"/>
      <c r="Z147" s="389"/>
      <c r="AA147" s="389"/>
      <c r="AB147" s="389"/>
      <c r="AC147" s="389"/>
      <c r="AD147" s="389"/>
      <c r="AE147" s="389"/>
      <c r="AF147" s="389"/>
      <c r="AG147" s="389"/>
      <c r="AH147" s="389"/>
      <c r="AI147" s="389"/>
      <c r="AJ147" s="389"/>
      <c r="AK147" s="389"/>
      <c r="AL147" s="389"/>
      <c r="AM147" s="389"/>
      <c r="AN147" s="389"/>
      <c r="AO147" s="389"/>
      <c r="AP147" s="389"/>
      <c r="AQ147" s="389"/>
      <c r="AR147" s="389"/>
      <c r="AS147" s="389"/>
      <c r="AT147" s="389"/>
      <c r="AU147" s="389"/>
      <c r="AV147" s="389"/>
      <c r="AW147" s="389"/>
      <c r="AX147" s="389"/>
    </row>
    <row r="148" spans="1:50" x14ac:dyDescent="0.25">
      <c r="A148" s="387"/>
      <c r="B148" s="387"/>
      <c r="C148" s="387"/>
      <c r="D148" s="387"/>
      <c r="E148" s="387"/>
      <c r="F148" s="387"/>
      <c r="G148" s="387"/>
      <c r="H148" s="387"/>
      <c r="I148" s="387"/>
      <c r="J148" s="387"/>
      <c r="K148" s="387"/>
      <c r="L148" s="387"/>
      <c r="M148" s="387"/>
      <c r="N148" s="387"/>
      <c r="O148" s="387"/>
      <c r="P148" s="389"/>
      <c r="Q148" s="389"/>
      <c r="R148" s="389"/>
      <c r="S148" s="389"/>
      <c r="T148" s="389"/>
      <c r="U148" s="389"/>
      <c r="V148" s="389"/>
      <c r="W148" s="389"/>
      <c r="X148" s="389"/>
      <c r="Y148" s="389"/>
      <c r="Z148" s="389"/>
      <c r="AA148" s="389"/>
      <c r="AB148" s="389"/>
      <c r="AC148" s="389"/>
      <c r="AD148" s="389"/>
      <c r="AE148" s="389"/>
      <c r="AF148" s="389"/>
      <c r="AG148" s="389"/>
      <c r="AH148" s="389"/>
      <c r="AI148" s="389"/>
      <c r="AJ148" s="389"/>
      <c r="AK148" s="389"/>
      <c r="AL148" s="389"/>
      <c r="AM148" s="389"/>
      <c r="AN148" s="389"/>
      <c r="AO148" s="389"/>
      <c r="AP148" s="389"/>
      <c r="AQ148" s="389"/>
      <c r="AR148" s="389"/>
      <c r="AS148" s="389"/>
      <c r="AT148" s="389"/>
      <c r="AU148" s="389"/>
      <c r="AV148" s="389"/>
      <c r="AW148" s="389"/>
      <c r="AX148" s="389"/>
    </row>
    <row r="149" spans="1:50" x14ac:dyDescent="0.25">
      <c r="A149" s="387"/>
      <c r="B149" s="387"/>
      <c r="C149" s="387"/>
      <c r="D149" s="387"/>
      <c r="E149" s="387"/>
      <c r="F149" s="387"/>
      <c r="G149" s="387"/>
      <c r="H149" s="387"/>
      <c r="I149" s="387"/>
      <c r="J149" s="387"/>
      <c r="K149" s="387"/>
      <c r="L149" s="387"/>
      <c r="M149" s="387"/>
      <c r="N149" s="387"/>
      <c r="O149" s="387"/>
      <c r="P149" s="389"/>
      <c r="Q149" s="389"/>
      <c r="R149" s="389"/>
      <c r="S149" s="389"/>
      <c r="T149" s="389"/>
      <c r="U149" s="389"/>
      <c r="V149" s="389"/>
      <c r="W149" s="389"/>
      <c r="X149" s="389"/>
      <c r="Y149" s="389"/>
      <c r="Z149" s="389"/>
      <c r="AA149" s="389"/>
      <c r="AB149" s="389"/>
      <c r="AC149" s="389"/>
      <c r="AD149" s="389"/>
      <c r="AE149" s="389"/>
      <c r="AF149" s="389"/>
      <c r="AG149" s="389"/>
      <c r="AH149" s="389"/>
      <c r="AI149" s="389"/>
      <c r="AJ149" s="389"/>
      <c r="AK149" s="389"/>
      <c r="AL149" s="389"/>
      <c r="AM149" s="389"/>
      <c r="AN149" s="389"/>
      <c r="AO149" s="389"/>
      <c r="AP149" s="389"/>
      <c r="AQ149" s="389"/>
      <c r="AR149" s="389"/>
      <c r="AS149" s="389"/>
      <c r="AT149" s="389"/>
      <c r="AU149" s="389"/>
      <c r="AV149" s="389"/>
      <c r="AW149" s="389"/>
      <c r="AX149" s="389"/>
    </row>
    <row r="150" spans="1:50" x14ac:dyDescent="0.25">
      <c r="A150" s="387"/>
      <c r="B150" s="387"/>
      <c r="C150" s="387"/>
      <c r="D150" s="387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87"/>
      <c r="P150" s="389"/>
      <c r="Q150" s="389"/>
      <c r="R150" s="389"/>
      <c r="S150" s="389"/>
      <c r="T150" s="389"/>
      <c r="U150" s="389"/>
      <c r="V150" s="389"/>
      <c r="W150" s="389"/>
      <c r="X150" s="389"/>
      <c r="Y150" s="389"/>
      <c r="Z150" s="389"/>
      <c r="AA150" s="389"/>
      <c r="AB150" s="389"/>
      <c r="AC150" s="389"/>
      <c r="AD150" s="389"/>
      <c r="AE150" s="389"/>
      <c r="AF150" s="389"/>
      <c r="AG150" s="389"/>
      <c r="AH150" s="389"/>
      <c r="AI150" s="389"/>
      <c r="AJ150" s="389"/>
      <c r="AK150" s="389"/>
      <c r="AL150" s="389"/>
      <c r="AM150" s="389"/>
      <c r="AN150" s="389"/>
      <c r="AO150" s="389"/>
      <c r="AP150" s="389"/>
      <c r="AQ150" s="389"/>
      <c r="AR150" s="389"/>
      <c r="AS150" s="389"/>
      <c r="AT150" s="389"/>
      <c r="AU150" s="389"/>
      <c r="AV150" s="389"/>
      <c r="AW150" s="389"/>
      <c r="AX150" s="389"/>
    </row>
    <row r="151" spans="1:50" x14ac:dyDescent="0.25">
      <c r="A151" s="387"/>
      <c r="B151" s="387"/>
      <c r="C151" s="387"/>
      <c r="D151" s="387"/>
      <c r="E151" s="387"/>
      <c r="F151" s="387"/>
      <c r="G151" s="387"/>
      <c r="H151" s="387"/>
      <c r="I151" s="387"/>
      <c r="J151" s="387"/>
      <c r="K151" s="387"/>
      <c r="L151" s="387"/>
      <c r="M151" s="387"/>
      <c r="N151" s="387"/>
      <c r="O151" s="387"/>
      <c r="P151" s="389"/>
      <c r="Q151" s="389"/>
      <c r="R151" s="389"/>
      <c r="S151" s="389"/>
      <c r="T151" s="389"/>
      <c r="U151" s="389"/>
      <c r="V151" s="389"/>
      <c r="W151" s="389"/>
      <c r="X151" s="389"/>
      <c r="Y151" s="389"/>
      <c r="Z151" s="389"/>
      <c r="AA151" s="389"/>
      <c r="AB151" s="389"/>
      <c r="AC151" s="389"/>
      <c r="AD151" s="389"/>
      <c r="AE151" s="389"/>
      <c r="AF151" s="389"/>
      <c r="AG151" s="389"/>
      <c r="AH151" s="389"/>
      <c r="AI151" s="389"/>
      <c r="AJ151" s="389"/>
      <c r="AK151" s="389"/>
      <c r="AL151" s="389"/>
      <c r="AM151" s="389"/>
      <c r="AN151" s="389"/>
      <c r="AO151" s="389"/>
      <c r="AP151" s="389"/>
      <c r="AQ151" s="389"/>
      <c r="AR151" s="389"/>
      <c r="AS151" s="389"/>
      <c r="AT151" s="389"/>
      <c r="AU151" s="389"/>
      <c r="AV151" s="389"/>
      <c r="AW151" s="389"/>
      <c r="AX151" s="389"/>
    </row>
    <row r="152" spans="1:50" x14ac:dyDescent="0.25">
      <c r="A152" s="387"/>
      <c r="B152" s="387"/>
      <c r="C152" s="387"/>
      <c r="D152" s="387"/>
      <c r="E152" s="387"/>
      <c r="F152" s="387"/>
      <c r="G152" s="387"/>
      <c r="H152" s="387"/>
      <c r="I152" s="387"/>
      <c r="J152" s="387"/>
      <c r="K152" s="387"/>
      <c r="L152" s="387"/>
      <c r="M152" s="387"/>
      <c r="N152" s="387"/>
      <c r="O152" s="387"/>
      <c r="P152" s="389"/>
      <c r="Q152" s="389"/>
      <c r="R152" s="389"/>
      <c r="S152" s="389"/>
      <c r="T152" s="389"/>
      <c r="U152" s="389"/>
      <c r="V152" s="389"/>
      <c r="W152" s="389"/>
      <c r="X152" s="389"/>
      <c r="Y152" s="389"/>
      <c r="Z152" s="389"/>
      <c r="AA152" s="389"/>
      <c r="AB152" s="389"/>
      <c r="AC152" s="389"/>
      <c r="AD152" s="389"/>
      <c r="AE152" s="389"/>
      <c r="AF152" s="389"/>
      <c r="AG152" s="389"/>
      <c r="AH152" s="389"/>
      <c r="AI152" s="389"/>
      <c r="AJ152" s="389"/>
      <c r="AK152" s="389"/>
      <c r="AL152" s="389"/>
      <c r="AM152" s="389"/>
      <c r="AN152" s="389"/>
      <c r="AO152" s="389"/>
      <c r="AP152" s="389"/>
      <c r="AQ152" s="389"/>
      <c r="AR152" s="389"/>
      <c r="AS152" s="389"/>
      <c r="AT152" s="389"/>
      <c r="AU152" s="389"/>
      <c r="AV152" s="389"/>
      <c r="AW152" s="389"/>
      <c r="AX152" s="389"/>
    </row>
    <row r="153" spans="1:50" x14ac:dyDescent="0.25">
      <c r="A153" s="387"/>
      <c r="B153" s="387"/>
      <c r="C153" s="387"/>
      <c r="D153" s="387"/>
      <c r="E153" s="387"/>
      <c r="F153" s="387"/>
      <c r="G153" s="387"/>
      <c r="H153" s="387"/>
      <c r="I153" s="387"/>
      <c r="J153" s="387"/>
      <c r="K153" s="387"/>
      <c r="L153" s="387"/>
      <c r="M153" s="387"/>
      <c r="N153" s="387"/>
      <c r="O153" s="387"/>
      <c r="P153" s="389"/>
      <c r="Q153" s="389"/>
      <c r="R153" s="389"/>
      <c r="S153" s="389"/>
      <c r="T153" s="389"/>
      <c r="U153" s="389"/>
      <c r="V153" s="389"/>
      <c r="W153" s="389"/>
      <c r="X153" s="389"/>
      <c r="Y153" s="389"/>
      <c r="Z153" s="389"/>
      <c r="AA153" s="389"/>
      <c r="AB153" s="389"/>
      <c r="AC153" s="389"/>
      <c r="AD153" s="389"/>
      <c r="AE153" s="389"/>
      <c r="AF153" s="389"/>
      <c r="AG153" s="389"/>
      <c r="AH153" s="389"/>
      <c r="AI153" s="389"/>
      <c r="AJ153" s="389"/>
      <c r="AK153" s="389"/>
      <c r="AL153" s="389"/>
      <c r="AM153" s="389"/>
      <c r="AN153" s="389"/>
      <c r="AO153" s="389"/>
      <c r="AP153" s="389"/>
      <c r="AQ153" s="389"/>
      <c r="AR153" s="389"/>
      <c r="AS153" s="389"/>
      <c r="AT153" s="389"/>
      <c r="AU153" s="389"/>
      <c r="AV153" s="389"/>
      <c r="AW153" s="389"/>
      <c r="AX153" s="389"/>
    </row>
    <row r="154" spans="1:50" x14ac:dyDescent="0.25">
      <c r="A154" s="387"/>
      <c r="B154" s="387"/>
      <c r="C154" s="387"/>
      <c r="D154" s="387"/>
      <c r="E154" s="387"/>
      <c r="F154" s="387"/>
      <c r="G154" s="387"/>
      <c r="H154" s="387"/>
      <c r="I154" s="387"/>
      <c r="J154" s="387"/>
      <c r="K154" s="387"/>
      <c r="L154" s="387"/>
      <c r="M154" s="387"/>
      <c r="N154" s="387"/>
      <c r="O154" s="387"/>
      <c r="P154" s="389"/>
      <c r="Q154" s="389"/>
      <c r="R154" s="389"/>
      <c r="S154" s="389"/>
      <c r="T154" s="389"/>
      <c r="U154" s="389"/>
      <c r="V154" s="389"/>
      <c r="W154" s="389"/>
      <c r="X154" s="389"/>
      <c r="Y154" s="389"/>
      <c r="Z154" s="389"/>
      <c r="AA154" s="389"/>
      <c r="AB154" s="389"/>
      <c r="AC154" s="389"/>
      <c r="AD154" s="389"/>
      <c r="AE154" s="389"/>
      <c r="AF154" s="389"/>
      <c r="AG154" s="389"/>
      <c r="AH154" s="389"/>
      <c r="AI154" s="389"/>
      <c r="AJ154" s="389"/>
      <c r="AK154" s="389"/>
      <c r="AL154" s="389"/>
      <c r="AM154" s="389"/>
      <c r="AN154" s="389"/>
      <c r="AO154" s="389"/>
      <c r="AP154" s="389"/>
      <c r="AQ154" s="389"/>
      <c r="AR154" s="389"/>
      <c r="AS154" s="389"/>
      <c r="AT154" s="389"/>
      <c r="AU154" s="389"/>
      <c r="AV154" s="389"/>
      <c r="AW154" s="389"/>
      <c r="AX154" s="389"/>
    </row>
    <row r="155" spans="1:50" x14ac:dyDescent="0.25">
      <c r="A155" s="387"/>
      <c r="B155" s="387"/>
      <c r="C155" s="387"/>
      <c r="D155" s="387"/>
      <c r="E155" s="387"/>
      <c r="F155" s="387"/>
      <c r="G155" s="387"/>
      <c r="H155" s="387"/>
      <c r="I155" s="387"/>
      <c r="J155" s="387"/>
      <c r="K155" s="387"/>
      <c r="L155" s="387"/>
      <c r="M155" s="387"/>
      <c r="N155" s="387"/>
      <c r="O155" s="387"/>
      <c r="P155" s="389"/>
      <c r="Q155" s="389"/>
      <c r="R155" s="389"/>
      <c r="S155" s="389"/>
      <c r="T155" s="389"/>
      <c r="U155" s="389"/>
      <c r="V155" s="389"/>
      <c r="W155" s="389"/>
      <c r="X155" s="389"/>
      <c r="Y155" s="389"/>
      <c r="Z155" s="389"/>
      <c r="AA155" s="389"/>
      <c r="AB155" s="389"/>
      <c r="AC155" s="389"/>
      <c r="AD155" s="389"/>
      <c r="AE155" s="389"/>
      <c r="AF155" s="389"/>
      <c r="AG155" s="389"/>
      <c r="AH155" s="389"/>
      <c r="AI155" s="389"/>
      <c r="AJ155" s="389"/>
      <c r="AK155" s="389"/>
      <c r="AL155" s="389"/>
      <c r="AM155" s="389"/>
      <c r="AN155" s="389"/>
      <c r="AO155" s="389"/>
      <c r="AP155" s="389"/>
      <c r="AQ155" s="389"/>
      <c r="AR155" s="389"/>
      <c r="AS155" s="389"/>
      <c r="AT155" s="389"/>
      <c r="AU155" s="389"/>
      <c r="AV155" s="389"/>
      <c r="AW155" s="389"/>
      <c r="AX155" s="389"/>
    </row>
    <row r="156" spans="1:50" x14ac:dyDescent="0.25">
      <c r="A156" s="387"/>
      <c r="B156" s="387"/>
      <c r="C156" s="387"/>
      <c r="D156" s="387"/>
      <c r="E156" s="387"/>
      <c r="F156" s="387"/>
      <c r="G156" s="387"/>
      <c r="H156" s="387"/>
      <c r="I156" s="387"/>
      <c r="J156" s="387"/>
      <c r="K156" s="387"/>
      <c r="L156" s="387"/>
      <c r="M156" s="387"/>
      <c r="N156" s="387"/>
      <c r="O156" s="387"/>
      <c r="P156" s="389"/>
      <c r="Q156" s="389"/>
      <c r="R156" s="389"/>
      <c r="S156" s="389"/>
      <c r="T156" s="389"/>
      <c r="U156" s="389"/>
      <c r="V156" s="389"/>
      <c r="W156" s="389"/>
      <c r="X156" s="389"/>
      <c r="Y156" s="389"/>
      <c r="Z156" s="389"/>
      <c r="AA156" s="389"/>
      <c r="AB156" s="389"/>
      <c r="AC156" s="389"/>
      <c r="AD156" s="389"/>
      <c r="AE156" s="389"/>
      <c r="AF156" s="389"/>
      <c r="AG156" s="389"/>
      <c r="AH156" s="389"/>
      <c r="AI156" s="389"/>
      <c r="AJ156" s="389"/>
      <c r="AK156" s="389"/>
      <c r="AL156" s="389"/>
      <c r="AM156" s="389"/>
      <c r="AN156" s="389"/>
      <c r="AO156" s="389"/>
      <c r="AP156" s="389"/>
      <c r="AQ156" s="389"/>
      <c r="AR156" s="389"/>
      <c r="AS156" s="389"/>
      <c r="AT156" s="389"/>
      <c r="AU156" s="389"/>
      <c r="AV156" s="389"/>
      <c r="AW156" s="389"/>
      <c r="AX156" s="389"/>
    </row>
    <row r="157" spans="1:50" x14ac:dyDescent="0.25">
      <c r="A157" s="387"/>
      <c r="B157" s="387"/>
      <c r="C157" s="387"/>
      <c r="D157" s="387"/>
      <c r="E157" s="387"/>
      <c r="F157" s="387"/>
      <c r="G157" s="387"/>
      <c r="H157" s="387"/>
      <c r="I157" s="387"/>
      <c r="J157" s="387"/>
      <c r="K157" s="387"/>
      <c r="L157" s="387"/>
      <c r="M157" s="387"/>
      <c r="N157" s="387"/>
      <c r="O157" s="387"/>
      <c r="P157" s="389"/>
      <c r="Q157" s="389"/>
      <c r="R157" s="389"/>
      <c r="S157" s="389"/>
      <c r="T157" s="389"/>
      <c r="U157" s="389"/>
      <c r="V157" s="389"/>
      <c r="W157" s="389"/>
      <c r="X157" s="389"/>
      <c r="Y157" s="389"/>
      <c r="Z157" s="389"/>
      <c r="AA157" s="389"/>
      <c r="AB157" s="389"/>
      <c r="AC157" s="389"/>
      <c r="AD157" s="389"/>
      <c r="AE157" s="389"/>
      <c r="AF157" s="389"/>
      <c r="AG157" s="389"/>
      <c r="AH157" s="389"/>
      <c r="AI157" s="389"/>
      <c r="AJ157" s="389"/>
      <c r="AK157" s="389"/>
      <c r="AL157" s="389"/>
      <c r="AM157" s="389"/>
      <c r="AN157" s="389"/>
      <c r="AO157" s="389"/>
      <c r="AP157" s="389"/>
      <c r="AQ157" s="389"/>
      <c r="AR157" s="389"/>
      <c r="AS157" s="389"/>
      <c r="AT157" s="389"/>
      <c r="AU157" s="389"/>
      <c r="AV157" s="389"/>
      <c r="AW157" s="389"/>
      <c r="AX157" s="389"/>
    </row>
    <row r="158" spans="1:50" x14ac:dyDescent="0.25">
      <c r="A158" s="387"/>
      <c r="B158" s="387"/>
      <c r="C158" s="387"/>
      <c r="D158" s="387"/>
      <c r="E158" s="387"/>
      <c r="F158" s="387"/>
      <c r="G158" s="387"/>
      <c r="H158" s="387"/>
      <c r="I158" s="387"/>
      <c r="J158" s="387"/>
      <c r="K158" s="387"/>
      <c r="L158" s="387"/>
      <c r="M158" s="387"/>
      <c r="N158" s="387"/>
      <c r="O158" s="387"/>
      <c r="P158" s="389"/>
      <c r="Q158" s="389"/>
      <c r="R158" s="389"/>
      <c r="S158" s="389"/>
      <c r="T158" s="389"/>
      <c r="U158" s="389"/>
      <c r="V158" s="389"/>
      <c r="W158" s="389"/>
      <c r="X158" s="389"/>
      <c r="Y158" s="389"/>
      <c r="Z158" s="389"/>
      <c r="AA158" s="389"/>
      <c r="AB158" s="389"/>
      <c r="AC158" s="389"/>
      <c r="AD158" s="389"/>
      <c r="AE158" s="389"/>
      <c r="AF158" s="389"/>
      <c r="AG158" s="389"/>
      <c r="AH158" s="389"/>
      <c r="AI158" s="389"/>
      <c r="AJ158" s="389"/>
      <c r="AK158" s="389"/>
      <c r="AL158" s="389"/>
      <c r="AM158" s="389"/>
      <c r="AN158" s="389"/>
      <c r="AO158" s="389"/>
      <c r="AP158" s="389"/>
      <c r="AQ158" s="389"/>
      <c r="AR158" s="389"/>
      <c r="AS158" s="389"/>
      <c r="AT158" s="389"/>
      <c r="AU158" s="389"/>
      <c r="AV158" s="389"/>
      <c r="AW158" s="389"/>
      <c r="AX158" s="389"/>
    </row>
    <row r="159" spans="1:50" x14ac:dyDescent="0.25">
      <c r="A159" s="387"/>
      <c r="B159" s="387"/>
      <c r="C159" s="387"/>
      <c r="D159" s="387"/>
      <c r="E159" s="387"/>
      <c r="F159" s="387"/>
      <c r="G159" s="387"/>
      <c r="H159" s="387"/>
      <c r="I159" s="387"/>
      <c r="J159" s="387"/>
      <c r="K159" s="387"/>
      <c r="L159" s="387"/>
      <c r="M159" s="387"/>
      <c r="N159" s="387"/>
      <c r="O159" s="387"/>
      <c r="P159" s="389"/>
      <c r="Q159" s="389"/>
      <c r="R159" s="389"/>
      <c r="S159" s="389"/>
      <c r="T159" s="389"/>
      <c r="U159" s="389"/>
      <c r="V159" s="389"/>
      <c r="W159" s="389"/>
      <c r="X159" s="389"/>
      <c r="Y159" s="389"/>
      <c r="Z159" s="389"/>
      <c r="AA159" s="389"/>
      <c r="AB159" s="389"/>
      <c r="AC159" s="389"/>
      <c r="AD159" s="389"/>
      <c r="AE159" s="389"/>
      <c r="AF159" s="389"/>
      <c r="AG159" s="389"/>
      <c r="AH159" s="389"/>
      <c r="AI159" s="389"/>
      <c r="AJ159" s="389"/>
      <c r="AK159" s="389"/>
      <c r="AL159" s="389"/>
      <c r="AM159" s="389"/>
      <c r="AN159" s="389"/>
      <c r="AO159" s="389"/>
      <c r="AP159" s="389"/>
      <c r="AQ159" s="389"/>
      <c r="AR159" s="389"/>
      <c r="AS159" s="389"/>
      <c r="AT159" s="389"/>
      <c r="AU159" s="389"/>
      <c r="AV159" s="389"/>
      <c r="AW159" s="389"/>
      <c r="AX159" s="389"/>
    </row>
    <row r="160" spans="1:50" x14ac:dyDescent="0.25">
      <c r="A160" s="387"/>
      <c r="B160" s="387"/>
      <c r="C160" s="387"/>
      <c r="D160" s="387"/>
      <c r="E160" s="387"/>
      <c r="F160" s="387"/>
      <c r="G160" s="387"/>
      <c r="H160" s="387"/>
      <c r="I160" s="387"/>
      <c r="J160" s="387"/>
      <c r="K160" s="387"/>
      <c r="L160" s="387"/>
      <c r="M160" s="387"/>
      <c r="N160" s="387"/>
      <c r="O160" s="387"/>
      <c r="P160" s="389"/>
      <c r="Q160" s="389"/>
      <c r="R160" s="389"/>
      <c r="S160" s="389"/>
      <c r="T160" s="389"/>
      <c r="U160" s="389"/>
      <c r="V160" s="389"/>
      <c r="W160" s="389"/>
      <c r="X160" s="389"/>
      <c r="Y160" s="389"/>
      <c r="Z160" s="389"/>
      <c r="AA160" s="389"/>
      <c r="AB160" s="389"/>
      <c r="AC160" s="389"/>
      <c r="AD160" s="389"/>
      <c r="AE160" s="389"/>
      <c r="AF160" s="389"/>
      <c r="AG160" s="389"/>
      <c r="AH160" s="389"/>
      <c r="AI160" s="389"/>
      <c r="AJ160" s="389"/>
      <c r="AK160" s="389"/>
      <c r="AL160" s="389"/>
      <c r="AM160" s="389"/>
      <c r="AN160" s="389"/>
      <c r="AO160" s="389"/>
      <c r="AP160" s="389"/>
      <c r="AQ160" s="389"/>
      <c r="AR160" s="389"/>
      <c r="AS160" s="389"/>
      <c r="AT160" s="389"/>
      <c r="AU160" s="389"/>
      <c r="AV160" s="389"/>
      <c r="AW160" s="389"/>
      <c r="AX160" s="389"/>
    </row>
    <row r="161" spans="1:50" x14ac:dyDescent="0.25">
      <c r="A161" s="387"/>
      <c r="B161" s="387"/>
      <c r="C161" s="387"/>
      <c r="D161" s="387"/>
      <c r="E161" s="387"/>
      <c r="F161" s="387"/>
      <c r="G161" s="387"/>
      <c r="H161" s="387"/>
      <c r="I161" s="387"/>
      <c r="J161" s="387"/>
      <c r="K161" s="387"/>
      <c r="L161" s="387"/>
      <c r="M161" s="387"/>
      <c r="N161" s="387"/>
      <c r="O161" s="387"/>
      <c r="P161" s="389"/>
      <c r="Q161" s="389"/>
      <c r="R161" s="389"/>
      <c r="S161" s="389"/>
      <c r="T161" s="389"/>
      <c r="U161" s="389"/>
      <c r="V161" s="389"/>
      <c r="W161" s="389"/>
      <c r="X161" s="389"/>
      <c r="Y161" s="389"/>
      <c r="Z161" s="389"/>
      <c r="AA161" s="389"/>
      <c r="AB161" s="389"/>
      <c r="AC161" s="389"/>
      <c r="AD161" s="389"/>
      <c r="AE161" s="389"/>
      <c r="AF161" s="389"/>
      <c r="AG161" s="389"/>
      <c r="AH161" s="389"/>
      <c r="AI161" s="389"/>
      <c r="AJ161" s="389"/>
      <c r="AK161" s="389"/>
      <c r="AL161" s="389"/>
      <c r="AM161" s="389"/>
      <c r="AN161" s="389"/>
      <c r="AO161" s="389"/>
      <c r="AP161" s="389"/>
      <c r="AQ161" s="389"/>
      <c r="AR161" s="389"/>
      <c r="AS161" s="389"/>
      <c r="AT161" s="389"/>
      <c r="AU161" s="389"/>
      <c r="AV161" s="389"/>
      <c r="AW161" s="389"/>
      <c r="AX161" s="389"/>
    </row>
    <row r="162" spans="1:50" x14ac:dyDescent="0.25">
      <c r="A162" s="387"/>
      <c r="B162" s="387"/>
      <c r="C162" s="387"/>
      <c r="D162" s="387"/>
      <c r="E162" s="387"/>
      <c r="F162" s="387"/>
      <c r="G162" s="387"/>
      <c r="H162" s="387"/>
      <c r="I162" s="387"/>
      <c r="J162" s="387"/>
      <c r="K162" s="387"/>
      <c r="L162" s="387"/>
      <c r="M162" s="387"/>
      <c r="N162" s="387"/>
      <c r="O162" s="387"/>
      <c r="P162" s="389"/>
      <c r="Q162" s="389"/>
      <c r="R162" s="389"/>
      <c r="S162" s="389"/>
      <c r="T162" s="389"/>
      <c r="U162" s="389"/>
      <c r="V162" s="389"/>
      <c r="W162" s="389"/>
      <c r="X162" s="389"/>
      <c r="Y162" s="389"/>
      <c r="Z162" s="389"/>
      <c r="AA162" s="389"/>
      <c r="AB162" s="389"/>
      <c r="AC162" s="389"/>
      <c r="AD162" s="389"/>
      <c r="AE162" s="389"/>
      <c r="AF162" s="389"/>
      <c r="AG162" s="389"/>
      <c r="AH162" s="389"/>
      <c r="AI162" s="389"/>
      <c r="AJ162" s="389"/>
      <c r="AK162" s="389"/>
      <c r="AL162" s="389"/>
      <c r="AM162" s="389"/>
      <c r="AN162" s="389"/>
      <c r="AO162" s="389"/>
      <c r="AP162" s="389"/>
      <c r="AQ162" s="389"/>
      <c r="AR162" s="389"/>
      <c r="AS162" s="389"/>
      <c r="AT162" s="389"/>
      <c r="AU162" s="389"/>
      <c r="AV162" s="389"/>
      <c r="AW162" s="389"/>
      <c r="AX162" s="389"/>
    </row>
    <row r="163" spans="1:50" x14ac:dyDescent="0.25">
      <c r="A163" s="387"/>
      <c r="B163" s="387"/>
      <c r="C163" s="387"/>
      <c r="D163" s="387"/>
      <c r="E163" s="387"/>
      <c r="F163" s="387"/>
      <c r="G163" s="387"/>
      <c r="H163" s="387"/>
      <c r="I163" s="387"/>
      <c r="J163" s="387"/>
      <c r="K163" s="387"/>
      <c r="L163" s="387"/>
      <c r="M163" s="387"/>
      <c r="N163" s="387"/>
      <c r="O163" s="387"/>
      <c r="P163" s="389"/>
      <c r="Q163" s="389"/>
      <c r="R163" s="389"/>
      <c r="S163" s="389"/>
      <c r="T163" s="389"/>
      <c r="U163" s="389"/>
      <c r="V163" s="389"/>
      <c r="W163" s="389"/>
      <c r="X163" s="389"/>
      <c r="Y163" s="389"/>
      <c r="Z163" s="389"/>
      <c r="AA163" s="389"/>
      <c r="AB163" s="389"/>
      <c r="AC163" s="389"/>
      <c r="AD163" s="389"/>
      <c r="AE163" s="389"/>
      <c r="AF163" s="389"/>
      <c r="AG163" s="389"/>
      <c r="AH163" s="389"/>
      <c r="AI163" s="389"/>
      <c r="AJ163" s="389"/>
      <c r="AK163" s="389"/>
      <c r="AL163" s="389"/>
      <c r="AM163" s="389"/>
      <c r="AN163" s="389"/>
      <c r="AO163" s="389"/>
      <c r="AP163" s="389"/>
      <c r="AQ163" s="389"/>
      <c r="AR163" s="389"/>
      <c r="AS163" s="389"/>
      <c r="AT163" s="389"/>
      <c r="AU163" s="389"/>
      <c r="AV163" s="389"/>
      <c r="AW163" s="389"/>
      <c r="AX163" s="389"/>
    </row>
    <row r="164" spans="1:50" x14ac:dyDescent="0.25">
      <c r="A164" s="387"/>
      <c r="B164" s="387"/>
      <c r="C164" s="387"/>
      <c r="D164" s="387"/>
      <c r="E164" s="387"/>
      <c r="F164" s="387"/>
      <c r="G164" s="387"/>
      <c r="H164" s="387"/>
      <c r="I164" s="387"/>
      <c r="J164" s="387"/>
      <c r="K164" s="387"/>
      <c r="L164" s="387"/>
      <c r="M164" s="387"/>
      <c r="N164" s="387"/>
      <c r="O164" s="387"/>
      <c r="P164" s="389"/>
      <c r="Q164" s="389"/>
      <c r="R164" s="389"/>
      <c r="S164" s="389"/>
      <c r="T164" s="389"/>
      <c r="U164" s="389"/>
      <c r="V164" s="389"/>
      <c r="W164" s="389"/>
      <c r="X164" s="389"/>
      <c r="Y164" s="389"/>
      <c r="Z164" s="389"/>
      <c r="AA164" s="389"/>
      <c r="AB164" s="389"/>
      <c r="AC164" s="389"/>
      <c r="AD164" s="389"/>
      <c r="AE164" s="389"/>
      <c r="AF164" s="389"/>
      <c r="AG164" s="389"/>
      <c r="AH164" s="389"/>
      <c r="AI164" s="389"/>
      <c r="AJ164" s="389"/>
      <c r="AK164" s="389"/>
      <c r="AL164" s="389"/>
      <c r="AM164" s="389"/>
      <c r="AN164" s="389"/>
      <c r="AO164" s="389"/>
      <c r="AP164" s="389"/>
      <c r="AQ164" s="389"/>
      <c r="AR164" s="389"/>
      <c r="AS164" s="389"/>
      <c r="AT164" s="389"/>
      <c r="AU164" s="389"/>
      <c r="AV164" s="389"/>
      <c r="AW164" s="389"/>
      <c r="AX164" s="389"/>
    </row>
    <row r="165" spans="1:50" x14ac:dyDescent="0.25">
      <c r="A165" s="387"/>
      <c r="B165" s="387"/>
      <c r="C165" s="387"/>
      <c r="D165" s="387"/>
      <c r="E165" s="387"/>
      <c r="F165" s="387"/>
      <c r="G165" s="387"/>
      <c r="H165" s="387"/>
      <c r="I165" s="387"/>
      <c r="J165" s="387"/>
      <c r="K165" s="387"/>
      <c r="L165" s="387"/>
      <c r="M165" s="387"/>
      <c r="N165" s="387"/>
      <c r="O165" s="387"/>
      <c r="P165" s="389"/>
      <c r="Q165" s="389"/>
      <c r="R165" s="389"/>
      <c r="S165" s="389"/>
      <c r="T165" s="389"/>
      <c r="U165" s="389"/>
      <c r="V165" s="389"/>
      <c r="W165" s="389"/>
      <c r="X165" s="389"/>
      <c r="Y165" s="389"/>
      <c r="Z165" s="389"/>
      <c r="AA165" s="389"/>
      <c r="AB165" s="389"/>
      <c r="AC165" s="389"/>
      <c r="AD165" s="389"/>
      <c r="AE165" s="389"/>
      <c r="AF165" s="389"/>
      <c r="AG165" s="389"/>
      <c r="AH165" s="389"/>
      <c r="AI165" s="389"/>
      <c r="AJ165" s="389"/>
      <c r="AK165" s="389"/>
      <c r="AL165" s="389"/>
      <c r="AM165" s="389"/>
      <c r="AN165" s="389"/>
      <c r="AO165" s="389"/>
      <c r="AP165" s="389"/>
      <c r="AQ165" s="389"/>
      <c r="AR165" s="389"/>
      <c r="AS165" s="389"/>
      <c r="AT165" s="389"/>
      <c r="AU165" s="389"/>
      <c r="AV165" s="389"/>
      <c r="AW165" s="389"/>
      <c r="AX165" s="389"/>
    </row>
    <row r="166" spans="1:50" x14ac:dyDescent="0.25">
      <c r="A166" s="387"/>
      <c r="B166" s="387"/>
      <c r="C166" s="387"/>
      <c r="D166" s="387"/>
      <c r="E166" s="387"/>
      <c r="F166" s="387"/>
      <c r="G166" s="387"/>
      <c r="H166" s="387"/>
      <c r="I166" s="387"/>
      <c r="J166" s="387"/>
      <c r="K166" s="387"/>
      <c r="L166" s="387"/>
      <c r="M166" s="387"/>
      <c r="N166" s="387"/>
      <c r="O166" s="387"/>
      <c r="P166" s="389"/>
      <c r="Q166" s="389"/>
      <c r="R166" s="389"/>
      <c r="S166" s="389"/>
      <c r="T166" s="389"/>
      <c r="U166" s="389"/>
      <c r="V166" s="389"/>
      <c r="W166" s="389"/>
      <c r="X166" s="389"/>
      <c r="Y166" s="389"/>
      <c r="Z166" s="389"/>
      <c r="AA166" s="389"/>
      <c r="AB166" s="389"/>
      <c r="AC166" s="389"/>
      <c r="AD166" s="389"/>
      <c r="AE166" s="389"/>
      <c r="AF166" s="389"/>
      <c r="AG166" s="389"/>
      <c r="AH166" s="389"/>
      <c r="AI166" s="389"/>
      <c r="AJ166" s="389"/>
      <c r="AK166" s="389"/>
      <c r="AL166" s="389"/>
      <c r="AM166" s="389"/>
      <c r="AN166" s="389"/>
      <c r="AO166" s="389"/>
      <c r="AP166" s="389"/>
      <c r="AQ166" s="389"/>
      <c r="AR166" s="389"/>
      <c r="AS166" s="389"/>
      <c r="AT166" s="389"/>
      <c r="AU166" s="389"/>
      <c r="AV166" s="389"/>
      <c r="AW166" s="389"/>
      <c r="AX166" s="389"/>
    </row>
    <row r="167" spans="1:50" x14ac:dyDescent="0.25">
      <c r="A167" s="387"/>
      <c r="B167" s="387"/>
      <c r="C167" s="387"/>
      <c r="D167" s="387"/>
      <c r="E167" s="387"/>
      <c r="F167" s="387"/>
      <c r="G167" s="387"/>
      <c r="H167" s="387"/>
      <c r="I167" s="387"/>
      <c r="J167" s="387"/>
      <c r="K167" s="387"/>
      <c r="L167" s="387"/>
      <c r="M167" s="387"/>
      <c r="N167" s="387"/>
      <c r="O167" s="387"/>
      <c r="P167" s="389"/>
      <c r="Q167" s="389"/>
      <c r="R167" s="389"/>
      <c r="S167" s="389"/>
      <c r="T167" s="389"/>
      <c r="U167" s="389"/>
      <c r="V167" s="389"/>
      <c r="W167" s="389"/>
      <c r="X167" s="389"/>
      <c r="Y167" s="389"/>
      <c r="Z167" s="389"/>
      <c r="AA167" s="389"/>
      <c r="AB167" s="389"/>
      <c r="AC167" s="389"/>
      <c r="AD167" s="389"/>
      <c r="AE167" s="389"/>
      <c r="AF167" s="389"/>
      <c r="AG167" s="389"/>
      <c r="AH167" s="389"/>
      <c r="AI167" s="389"/>
      <c r="AJ167" s="389"/>
      <c r="AK167" s="389"/>
      <c r="AL167" s="389"/>
      <c r="AM167" s="389"/>
      <c r="AN167" s="389"/>
      <c r="AO167" s="389"/>
      <c r="AP167" s="389"/>
      <c r="AQ167" s="389"/>
      <c r="AR167" s="389"/>
      <c r="AS167" s="389"/>
      <c r="AT167" s="389"/>
      <c r="AU167" s="389"/>
      <c r="AV167" s="389"/>
      <c r="AW167" s="389"/>
      <c r="AX167" s="389"/>
    </row>
    <row r="168" spans="1:50" x14ac:dyDescent="0.25">
      <c r="A168" s="387"/>
      <c r="B168" s="387"/>
      <c r="C168" s="387"/>
      <c r="D168" s="387"/>
      <c r="E168" s="387"/>
      <c r="F168" s="387"/>
      <c r="G168" s="387"/>
      <c r="H168" s="387"/>
      <c r="I168" s="387"/>
      <c r="J168" s="387"/>
      <c r="K168" s="387"/>
      <c r="L168" s="387"/>
      <c r="M168" s="387"/>
      <c r="N168" s="387"/>
      <c r="O168" s="387"/>
      <c r="P168" s="389"/>
      <c r="Q168" s="389"/>
      <c r="R168" s="389"/>
      <c r="S168" s="389"/>
      <c r="T168" s="389"/>
      <c r="U168" s="389"/>
      <c r="V168" s="389"/>
      <c r="W168" s="389"/>
      <c r="X168" s="389"/>
      <c r="Y168" s="389"/>
      <c r="Z168" s="389"/>
      <c r="AA168" s="389"/>
      <c r="AB168" s="389"/>
      <c r="AC168" s="389"/>
      <c r="AD168" s="389"/>
      <c r="AE168" s="389"/>
      <c r="AF168" s="389"/>
      <c r="AG168" s="389"/>
      <c r="AH168" s="389"/>
      <c r="AI168" s="389"/>
      <c r="AJ168" s="389"/>
      <c r="AK168" s="389"/>
      <c r="AL168" s="389"/>
      <c r="AM168" s="389"/>
      <c r="AN168" s="389"/>
      <c r="AO168" s="389"/>
      <c r="AP168" s="389"/>
      <c r="AQ168" s="389"/>
      <c r="AR168" s="389"/>
      <c r="AS168" s="389"/>
      <c r="AT168" s="389"/>
      <c r="AU168" s="389"/>
      <c r="AV168" s="389"/>
      <c r="AW168" s="389"/>
      <c r="AX168" s="389"/>
    </row>
    <row r="169" spans="1:50" x14ac:dyDescent="0.25">
      <c r="A169" s="387"/>
      <c r="B169" s="387"/>
      <c r="C169" s="387"/>
      <c r="D169" s="387"/>
      <c r="E169" s="387"/>
      <c r="F169" s="387"/>
      <c r="G169" s="387"/>
      <c r="H169" s="387"/>
      <c r="I169" s="387"/>
      <c r="J169" s="387"/>
      <c r="K169" s="387"/>
      <c r="L169" s="387"/>
      <c r="M169" s="387"/>
      <c r="N169" s="387"/>
      <c r="O169" s="387"/>
      <c r="P169" s="389"/>
      <c r="Q169" s="389"/>
      <c r="R169" s="389"/>
      <c r="S169" s="389"/>
      <c r="T169" s="389"/>
      <c r="U169" s="389"/>
      <c r="V169" s="389"/>
      <c r="W169" s="389"/>
      <c r="X169" s="389"/>
      <c r="Y169" s="389"/>
      <c r="Z169" s="389"/>
      <c r="AA169" s="389"/>
      <c r="AB169" s="389"/>
      <c r="AC169" s="389"/>
      <c r="AD169" s="389"/>
      <c r="AE169" s="389"/>
      <c r="AF169" s="389"/>
      <c r="AG169" s="389"/>
      <c r="AH169" s="389"/>
      <c r="AI169" s="389"/>
      <c r="AJ169" s="389"/>
      <c r="AK169" s="389"/>
      <c r="AL169" s="389"/>
      <c r="AM169" s="389"/>
      <c r="AN169" s="389"/>
      <c r="AO169" s="389"/>
      <c r="AP169" s="389"/>
      <c r="AQ169" s="389"/>
      <c r="AR169" s="389"/>
      <c r="AS169" s="389"/>
      <c r="AT169" s="389"/>
      <c r="AU169" s="389"/>
      <c r="AV169" s="389"/>
      <c r="AW169" s="389"/>
      <c r="AX169" s="389"/>
    </row>
    <row r="170" spans="1:50" x14ac:dyDescent="0.25">
      <c r="A170" s="387"/>
      <c r="B170" s="387"/>
      <c r="C170" s="387"/>
      <c r="D170" s="387"/>
      <c r="E170" s="387"/>
      <c r="F170" s="387"/>
      <c r="G170" s="387"/>
      <c r="H170" s="387"/>
      <c r="I170" s="387"/>
      <c r="J170" s="387"/>
      <c r="K170" s="387"/>
      <c r="L170" s="387"/>
      <c r="M170" s="387"/>
      <c r="N170" s="387"/>
      <c r="O170" s="387"/>
      <c r="P170" s="389"/>
      <c r="Q170" s="389"/>
      <c r="R170" s="389"/>
      <c r="S170" s="389"/>
      <c r="T170" s="389"/>
      <c r="U170" s="389"/>
      <c r="V170" s="389"/>
      <c r="W170" s="389"/>
      <c r="X170" s="389"/>
      <c r="Y170" s="389"/>
      <c r="Z170" s="389"/>
      <c r="AA170" s="389"/>
      <c r="AB170" s="389"/>
      <c r="AC170" s="389"/>
      <c r="AD170" s="389"/>
      <c r="AE170" s="389"/>
      <c r="AF170" s="389"/>
      <c r="AG170" s="389"/>
      <c r="AH170" s="389"/>
      <c r="AI170" s="389"/>
      <c r="AJ170" s="389"/>
      <c r="AK170" s="389"/>
      <c r="AL170" s="389"/>
      <c r="AM170" s="389"/>
      <c r="AN170" s="389"/>
      <c r="AO170" s="389"/>
      <c r="AP170" s="389"/>
      <c r="AQ170" s="389"/>
      <c r="AR170" s="389"/>
      <c r="AS170" s="389"/>
      <c r="AT170" s="389"/>
      <c r="AU170" s="389"/>
      <c r="AV170" s="389"/>
      <c r="AW170" s="389"/>
      <c r="AX170" s="389"/>
    </row>
    <row r="171" spans="1:50" x14ac:dyDescent="0.25">
      <c r="A171" s="387"/>
      <c r="B171" s="387"/>
      <c r="C171" s="387"/>
      <c r="D171" s="387"/>
      <c r="E171" s="387"/>
      <c r="F171" s="387"/>
      <c r="G171" s="387"/>
      <c r="H171" s="387"/>
      <c r="I171" s="387"/>
      <c r="J171" s="387"/>
      <c r="K171" s="387"/>
      <c r="L171" s="387"/>
      <c r="M171" s="387"/>
      <c r="N171" s="387"/>
      <c r="O171" s="387"/>
      <c r="P171" s="389"/>
      <c r="Q171" s="389"/>
      <c r="R171" s="389"/>
      <c r="S171" s="389"/>
      <c r="T171" s="389"/>
      <c r="U171" s="389"/>
      <c r="V171" s="389"/>
      <c r="W171" s="389"/>
      <c r="X171" s="389"/>
      <c r="Y171" s="389"/>
      <c r="Z171" s="389"/>
      <c r="AA171" s="389"/>
      <c r="AB171" s="389"/>
      <c r="AC171" s="389"/>
      <c r="AD171" s="389"/>
      <c r="AE171" s="389"/>
      <c r="AF171" s="389"/>
      <c r="AG171" s="389"/>
      <c r="AH171" s="389"/>
      <c r="AI171" s="389"/>
      <c r="AJ171" s="389"/>
      <c r="AK171" s="389"/>
      <c r="AL171" s="389"/>
      <c r="AM171" s="389"/>
      <c r="AN171" s="389"/>
      <c r="AO171" s="389"/>
      <c r="AP171" s="389"/>
      <c r="AQ171" s="389"/>
      <c r="AR171" s="389"/>
      <c r="AS171" s="389"/>
      <c r="AT171" s="389"/>
      <c r="AU171" s="389"/>
      <c r="AV171" s="389"/>
      <c r="AW171" s="389"/>
      <c r="AX171" s="389"/>
    </row>
    <row r="172" spans="1:50" x14ac:dyDescent="0.25">
      <c r="A172" s="387"/>
      <c r="B172" s="387"/>
      <c r="C172" s="387"/>
      <c r="D172" s="387"/>
      <c r="E172" s="387"/>
      <c r="F172" s="387"/>
      <c r="G172" s="387"/>
      <c r="H172" s="387"/>
      <c r="I172" s="387"/>
      <c r="J172" s="387"/>
      <c r="K172" s="387"/>
      <c r="L172" s="387"/>
      <c r="M172" s="387"/>
      <c r="N172" s="387"/>
      <c r="O172" s="387"/>
      <c r="P172" s="389"/>
      <c r="Q172" s="389"/>
      <c r="R172" s="389"/>
      <c r="S172" s="389"/>
      <c r="T172" s="389"/>
      <c r="U172" s="389"/>
      <c r="V172" s="389"/>
      <c r="W172" s="389"/>
      <c r="X172" s="389"/>
      <c r="Y172" s="389"/>
      <c r="Z172" s="389"/>
      <c r="AA172" s="389"/>
      <c r="AB172" s="389"/>
      <c r="AC172" s="389"/>
      <c r="AD172" s="389"/>
      <c r="AE172" s="389"/>
      <c r="AF172" s="389"/>
      <c r="AG172" s="389"/>
      <c r="AH172" s="389"/>
      <c r="AI172" s="389"/>
      <c r="AJ172" s="389"/>
      <c r="AK172" s="389"/>
      <c r="AL172" s="389"/>
      <c r="AM172" s="389"/>
      <c r="AN172" s="389"/>
      <c r="AO172" s="389"/>
      <c r="AP172" s="389"/>
      <c r="AQ172" s="389"/>
      <c r="AR172" s="389"/>
      <c r="AS172" s="389"/>
      <c r="AT172" s="389"/>
      <c r="AU172" s="389"/>
      <c r="AV172" s="389"/>
      <c r="AW172" s="389"/>
      <c r="AX172" s="389"/>
    </row>
    <row r="173" spans="1:50" x14ac:dyDescent="0.25">
      <c r="A173" s="387"/>
      <c r="B173" s="387"/>
      <c r="C173" s="387"/>
      <c r="D173" s="387"/>
      <c r="E173" s="387"/>
      <c r="F173" s="387"/>
      <c r="G173" s="387"/>
      <c r="H173" s="387"/>
      <c r="I173" s="387"/>
      <c r="J173" s="387"/>
      <c r="K173" s="387"/>
      <c r="L173" s="387"/>
      <c r="M173" s="387"/>
      <c r="N173" s="387"/>
      <c r="O173" s="387"/>
      <c r="P173" s="389"/>
      <c r="Q173" s="389"/>
      <c r="R173" s="389"/>
      <c r="S173" s="389"/>
      <c r="T173" s="389"/>
      <c r="U173" s="389"/>
      <c r="V173" s="389"/>
      <c r="W173" s="389"/>
      <c r="X173" s="389"/>
      <c r="Y173" s="389"/>
      <c r="Z173" s="389"/>
      <c r="AA173" s="389"/>
      <c r="AB173" s="389"/>
      <c r="AC173" s="389"/>
      <c r="AD173" s="389"/>
      <c r="AE173" s="389"/>
      <c r="AF173" s="389"/>
      <c r="AG173" s="389"/>
      <c r="AH173" s="389"/>
      <c r="AI173" s="389"/>
      <c r="AJ173" s="389"/>
      <c r="AK173" s="389"/>
      <c r="AL173" s="389"/>
      <c r="AM173" s="389"/>
      <c r="AN173" s="389"/>
      <c r="AO173" s="389"/>
      <c r="AP173" s="389"/>
      <c r="AQ173" s="389"/>
      <c r="AR173" s="389"/>
      <c r="AS173" s="389"/>
      <c r="AT173" s="389"/>
      <c r="AU173" s="389"/>
      <c r="AV173" s="389"/>
      <c r="AW173" s="389"/>
      <c r="AX173" s="389"/>
    </row>
    <row r="174" spans="1:50" x14ac:dyDescent="0.25">
      <c r="A174" s="387"/>
      <c r="B174" s="387"/>
      <c r="C174" s="387"/>
      <c r="D174" s="387"/>
      <c r="E174" s="387"/>
      <c r="F174" s="387"/>
      <c r="G174" s="387"/>
      <c r="H174" s="387"/>
      <c r="I174" s="387"/>
      <c r="J174" s="387"/>
      <c r="K174" s="387"/>
      <c r="L174" s="387"/>
      <c r="M174" s="387"/>
      <c r="N174" s="387"/>
      <c r="O174" s="387"/>
      <c r="P174" s="389"/>
      <c r="Q174" s="389"/>
      <c r="R174" s="389"/>
      <c r="S174" s="389"/>
      <c r="T174" s="389"/>
      <c r="U174" s="389"/>
      <c r="V174" s="389"/>
      <c r="W174" s="389"/>
      <c r="X174" s="389"/>
      <c r="Y174" s="389"/>
      <c r="Z174" s="389"/>
      <c r="AA174" s="389"/>
      <c r="AB174" s="389"/>
      <c r="AC174" s="389"/>
      <c r="AD174" s="389"/>
      <c r="AE174" s="389"/>
      <c r="AF174" s="389"/>
      <c r="AG174" s="389"/>
      <c r="AH174" s="389"/>
      <c r="AI174" s="389"/>
      <c r="AJ174" s="389"/>
      <c r="AK174" s="389"/>
      <c r="AL174" s="389"/>
      <c r="AM174" s="389"/>
      <c r="AN174" s="389"/>
      <c r="AO174" s="389"/>
      <c r="AP174" s="389"/>
      <c r="AQ174" s="389"/>
      <c r="AR174" s="389"/>
      <c r="AS174" s="389"/>
      <c r="AT174" s="389"/>
      <c r="AU174" s="389"/>
      <c r="AV174" s="389"/>
      <c r="AW174" s="389"/>
      <c r="AX174" s="389"/>
    </row>
    <row r="175" spans="1:50" x14ac:dyDescent="0.25">
      <c r="A175" s="387"/>
      <c r="B175" s="387"/>
      <c r="C175" s="387"/>
      <c r="D175" s="387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87"/>
      <c r="P175" s="389"/>
      <c r="Q175" s="389"/>
      <c r="R175" s="389"/>
      <c r="S175" s="389"/>
      <c r="T175" s="389"/>
      <c r="U175" s="389"/>
      <c r="V175" s="389"/>
      <c r="W175" s="389"/>
      <c r="X175" s="389"/>
      <c r="Y175" s="389"/>
      <c r="Z175" s="389"/>
      <c r="AA175" s="389"/>
      <c r="AB175" s="389"/>
      <c r="AC175" s="389"/>
      <c r="AD175" s="389"/>
      <c r="AE175" s="389"/>
      <c r="AF175" s="389"/>
      <c r="AG175" s="389"/>
      <c r="AH175" s="389"/>
      <c r="AI175" s="389"/>
      <c r="AJ175" s="389"/>
      <c r="AK175" s="389"/>
      <c r="AL175" s="389"/>
      <c r="AM175" s="389"/>
      <c r="AN175" s="389"/>
      <c r="AO175" s="389"/>
      <c r="AP175" s="389"/>
      <c r="AQ175" s="389"/>
      <c r="AR175" s="389"/>
      <c r="AS175" s="389"/>
      <c r="AT175" s="389"/>
      <c r="AU175" s="389"/>
      <c r="AV175" s="389"/>
      <c r="AW175" s="389"/>
      <c r="AX175" s="389"/>
    </row>
    <row r="176" spans="1:50" x14ac:dyDescent="0.25">
      <c r="A176" s="387"/>
      <c r="B176" s="387"/>
      <c r="C176" s="387"/>
      <c r="D176" s="387"/>
      <c r="E176" s="387"/>
      <c r="F176" s="387"/>
      <c r="G176" s="387"/>
      <c r="H176" s="387"/>
      <c r="I176" s="387"/>
      <c r="J176" s="387"/>
      <c r="K176" s="387"/>
      <c r="L176" s="387"/>
      <c r="M176" s="387"/>
      <c r="N176" s="387"/>
      <c r="O176" s="387"/>
      <c r="P176" s="389"/>
      <c r="Q176" s="389"/>
      <c r="R176" s="389"/>
      <c r="S176" s="389"/>
      <c r="T176" s="389"/>
      <c r="U176" s="389"/>
      <c r="V176" s="389"/>
      <c r="W176" s="389"/>
      <c r="X176" s="389"/>
      <c r="Y176" s="389"/>
      <c r="Z176" s="389"/>
      <c r="AA176" s="389"/>
      <c r="AB176" s="389"/>
      <c r="AC176" s="389"/>
      <c r="AD176" s="389"/>
      <c r="AE176" s="389"/>
      <c r="AF176" s="389"/>
      <c r="AG176" s="389"/>
      <c r="AH176" s="389"/>
      <c r="AI176" s="389"/>
      <c r="AJ176" s="389"/>
      <c r="AK176" s="389"/>
      <c r="AL176" s="389"/>
      <c r="AM176" s="389"/>
      <c r="AN176" s="389"/>
      <c r="AO176" s="389"/>
      <c r="AP176" s="389"/>
      <c r="AQ176" s="389"/>
      <c r="AR176" s="389"/>
      <c r="AS176" s="389"/>
      <c r="AT176" s="389"/>
      <c r="AU176" s="389"/>
      <c r="AV176" s="389"/>
      <c r="AW176" s="389"/>
      <c r="AX176" s="389"/>
    </row>
    <row r="177" spans="1:50" x14ac:dyDescent="0.25">
      <c r="A177" s="387"/>
      <c r="B177" s="387"/>
      <c r="C177" s="387"/>
      <c r="D177" s="387"/>
      <c r="E177" s="387"/>
      <c r="F177" s="387"/>
      <c r="G177" s="387"/>
      <c r="H177" s="387"/>
      <c r="I177" s="387"/>
      <c r="J177" s="387"/>
      <c r="K177" s="387"/>
      <c r="L177" s="387"/>
      <c r="M177" s="387"/>
      <c r="N177" s="387"/>
      <c r="O177" s="387"/>
      <c r="P177" s="389"/>
      <c r="Q177" s="389"/>
      <c r="R177" s="389"/>
      <c r="S177" s="389"/>
      <c r="T177" s="389"/>
      <c r="U177" s="389"/>
      <c r="V177" s="389"/>
      <c r="W177" s="389"/>
      <c r="X177" s="389"/>
      <c r="Y177" s="389"/>
      <c r="Z177" s="389"/>
      <c r="AA177" s="389"/>
      <c r="AB177" s="389"/>
      <c r="AC177" s="389"/>
      <c r="AD177" s="389"/>
      <c r="AE177" s="389"/>
      <c r="AF177" s="389"/>
      <c r="AG177" s="389"/>
      <c r="AH177" s="389"/>
      <c r="AI177" s="389"/>
      <c r="AJ177" s="389"/>
      <c r="AK177" s="389"/>
      <c r="AL177" s="389"/>
      <c r="AM177" s="389"/>
      <c r="AN177" s="389"/>
      <c r="AO177" s="389"/>
      <c r="AP177" s="389"/>
      <c r="AQ177" s="389"/>
      <c r="AR177" s="389"/>
      <c r="AS177" s="389"/>
      <c r="AT177" s="389"/>
      <c r="AU177" s="389"/>
      <c r="AV177" s="389"/>
      <c r="AW177" s="389"/>
      <c r="AX177" s="389"/>
    </row>
    <row r="178" spans="1:50" x14ac:dyDescent="0.25">
      <c r="A178" s="387"/>
      <c r="B178" s="387"/>
      <c r="C178" s="387"/>
      <c r="D178" s="387"/>
      <c r="E178" s="387"/>
      <c r="F178" s="387"/>
      <c r="G178" s="387"/>
      <c r="H178" s="387"/>
      <c r="I178" s="387"/>
      <c r="J178" s="387"/>
      <c r="K178" s="387"/>
      <c r="L178" s="387"/>
      <c r="M178" s="387"/>
      <c r="N178" s="387"/>
      <c r="O178" s="387"/>
      <c r="P178" s="389"/>
      <c r="Q178" s="389"/>
      <c r="R178" s="389"/>
      <c r="S178" s="389"/>
      <c r="T178" s="389"/>
      <c r="U178" s="389"/>
      <c r="V178" s="389"/>
      <c r="W178" s="389"/>
      <c r="X178" s="389"/>
      <c r="Y178" s="389"/>
      <c r="Z178" s="389"/>
      <c r="AA178" s="389"/>
      <c r="AB178" s="389"/>
      <c r="AC178" s="389"/>
      <c r="AD178" s="389"/>
      <c r="AE178" s="389"/>
      <c r="AF178" s="389"/>
      <c r="AG178" s="389"/>
      <c r="AH178" s="389"/>
      <c r="AI178" s="389"/>
      <c r="AJ178" s="389"/>
      <c r="AK178" s="389"/>
      <c r="AL178" s="389"/>
      <c r="AM178" s="389"/>
      <c r="AN178" s="389"/>
      <c r="AO178" s="389"/>
      <c r="AP178" s="389"/>
      <c r="AQ178" s="389"/>
      <c r="AR178" s="389"/>
      <c r="AS178" s="389"/>
      <c r="AT178" s="389"/>
      <c r="AU178" s="389"/>
      <c r="AV178" s="389"/>
      <c r="AW178" s="389"/>
      <c r="AX178" s="389"/>
    </row>
    <row r="179" spans="1:50" x14ac:dyDescent="0.25">
      <c r="A179" s="387"/>
      <c r="B179" s="387"/>
      <c r="C179" s="387"/>
      <c r="D179" s="387"/>
      <c r="E179" s="387"/>
      <c r="F179" s="387"/>
      <c r="G179" s="387"/>
      <c r="H179" s="387"/>
      <c r="I179" s="387"/>
      <c r="J179" s="387"/>
      <c r="K179" s="387"/>
      <c r="L179" s="387"/>
      <c r="M179" s="387"/>
      <c r="N179" s="387"/>
      <c r="O179" s="387"/>
      <c r="P179" s="389"/>
      <c r="Q179" s="389"/>
      <c r="R179" s="389"/>
      <c r="S179" s="389"/>
      <c r="T179" s="389"/>
      <c r="U179" s="389"/>
      <c r="V179" s="389"/>
      <c r="W179" s="389"/>
      <c r="X179" s="389"/>
      <c r="Y179" s="389"/>
      <c r="Z179" s="389"/>
      <c r="AA179" s="389"/>
      <c r="AB179" s="389"/>
      <c r="AC179" s="389"/>
      <c r="AD179" s="389"/>
      <c r="AE179" s="389"/>
      <c r="AF179" s="389"/>
      <c r="AG179" s="389"/>
      <c r="AH179" s="389"/>
      <c r="AI179" s="389"/>
      <c r="AJ179" s="389"/>
      <c r="AK179" s="389"/>
      <c r="AL179" s="389"/>
      <c r="AM179" s="389"/>
      <c r="AN179" s="389"/>
      <c r="AO179" s="389"/>
      <c r="AP179" s="389"/>
      <c r="AQ179" s="389"/>
      <c r="AR179" s="389"/>
      <c r="AS179" s="389"/>
      <c r="AT179" s="389"/>
      <c r="AU179" s="389"/>
      <c r="AV179" s="389"/>
      <c r="AW179" s="389"/>
      <c r="AX179" s="389"/>
    </row>
    <row r="180" spans="1:50" x14ac:dyDescent="0.25">
      <c r="A180" s="387"/>
      <c r="B180" s="387"/>
      <c r="C180" s="387"/>
      <c r="D180" s="387"/>
      <c r="E180" s="387"/>
      <c r="F180" s="387"/>
      <c r="G180" s="387"/>
      <c r="H180" s="387"/>
      <c r="I180" s="387"/>
      <c r="J180" s="387"/>
      <c r="K180" s="387"/>
      <c r="L180" s="387"/>
      <c r="M180" s="387"/>
      <c r="N180" s="387"/>
      <c r="O180" s="387"/>
      <c r="P180" s="389"/>
      <c r="Q180" s="389"/>
      <c r="R180" s="389"/>
      <c r="S180" s="389"/>
      <c r="T180" s="389"/>
      <c r="U180" s="389"/>
      <c r="V180" s="389"/>
      <c r="W180" s="389"/>
      <c r="X180" s="389"/>
      <c r="Y180" s="389"/>
      <c r="Z180" s="389"/>
      <c r="AA180" s="389"/>
      <c r="AB180" s="389"/>
      <c r="AC180" s="389"/>
      <c r="AD180" s="389"/>
      <c r="AE180" s="389"/>
      <c r="AF180" s="389"/>
      <c r="AG180" s="389"/>
      <c r="AH180" s="389"/>
      <c r="AI180" s="389"/>
      <c r="AJ180" s="389"/>
      <c r="AK180" s="389"/>
      <c r="AL180" s="389"/>
      <c r="AM180" s="389"/>
      <c r="AN180" s="389"/>
      <c r="AO180" s="389"/>
      <c r="AP180" s="389"/>
      <c r="AQ180" s="389"/>
      <c r="AR180" s="389"/>
      <c r="AS180" s="389"/>
      <c r="AT180" s="389"/>
      <c r="AU180" s="389"/>
      <c r="AV180" s="389"/>
      <c r="AW180" s="389"/>
      <c r="AX180" s="389"/>
    </row>
    <row r="181" spans="1:50" x14ac:dyDescent="0.25">
      <c r="A181" s="387"/>
      <c r="B181" s="387"/>
      <c r="C181" s="387"/>
      <c r="D181" s="387"/>
      <c r="E181" s="387"/>
      <c r="F181" s="387"/>
      <c r="G181" s="387"/>
      <c r="H181" s="387"/>
      <c r="I181" s="387"/>
      <c r="J181" s="387"/>
      <c r="K181" s="387"/>
      <c r="L181" s="387"/>
      <c r="M181" s="387"/>
      <c r="N181" s="387"/>
      <c r="O181" s="387"/>
      <c r="P181" s="389"/>
      <c r="Q181" s="389"/>
      <c r="R181" s="389"/>
      <c r="S181" s="389"/>
      <c r="T181" s="389"/>
      <c r="U181" s="389"/>
      <c r="V181" s="389"/>
      <c r="W181" s="389"/>
      <c r="X181" s="389"/>
      <c r="Y181" s="389"/>
      <c r="Z181" s="389"/>
      <c r="AA181" s="389"/>
      <c r="AB181" s="389"/>
      <c r="AC181" s="389"/>
      <c r="AD181" s="389"/>
      <c r="AE181" s="389"/>
      <c r="AF181" s="389"/>
      <c r="AG181" s="389"/>
      <c r="AH181" s="389"/>
      <c r="AI181" s="389"/>
      <c r="AJ181" s="389"/>
      <c r="AK181" s="389"/>
      <c r="AL181" s="389"/>
      <c r="AM181" s="389"/>
      <c r="AN181" s="389"/>
      <c r="AO181" s="389"/>
      <c r="AP181" s="389"/>
      <c r="AQ181" s="389"/>
      <c r="AR181" s="389"/>
      <c r="AS181" s="389"/>
      <c r="AT181" s="389"/>
      <c r="AU181" s="389"/>
      <c r="AV181" s="389"/>
      <c r="AW181" s="389"/>
      <c r="AX181" s="389"/>
    </row>
    <row r="182" spans="1:50" x14ac:dyDescent="0.25">
      <c r="A182" s="387"/>
      <c r="B182" s="387"/>
      <c r="C182" s="387"/>
      <c r="D182" s="387"/>
      <c r="E182" s="387"/>
      <c r="F182" s="387"/>
      <c r="G182" s="387"/>
      <c r="H182" s="387"/>
      <c r="I182" s="387"/>
      <c r="J182" s="387"/>
      <c r="K182" s="387"/>
      <c r="L182" s="387"/>
      <c r="M182" s="387"/>
      <c r="N182" s="387"/>
      <c r="O182" s="387"/>
      <c r="P182" s="389"/>
      <c r="Q182" s="389"/>
      <c r="R182" s="389"/>
      <c r="S182" s="389"/>
      <c r="T182" s="389"/>
      <c r="U182" s="389"/>
      <c r="V182" s="389"/>
      <c r="W182" s="389"/>
      <c r="X182" s="389"/>
      <c r="Y182" s="389"/>
      <c r="Z182" s="389"/>
      <c r="AA182" s="389"/>
      <c r="AB182" s="389"/>
      <c r="AC182" s="389"/>
      <c r="AD182" s="389"/>
      <c r="AE182" s="389"/>
      <c r="AF182" s="389"/>
      <c r="AG182" s="389"/>
      <c r="AH182" s="389"/>
      <c r="AI182" s="389"/>
      <c r="AJ182" s="389"/>
      <c r="AK182" s="389"/>
      <c r="AL182" s="389"/>
      <c r="AM182" s="389"/>
      <c r="AN182" s="389"/>
      <c r="AO182" s="389"/>
      <c r="AP182" s="389"/>
      <c r="AQ182" s="389"/>
      <c r="AR182" s="389"/>
      <c r="AS182" s="389"/>
      <c r="AT182" s="389"/>
      <c r="AU182" s="389"/>
      <c r="AV182" s="389"/>
      <c r="AW182" s="389"/>
      <c r="AX182" s="389"/>
    </row>
    <row r="183" spans="1:50" x14ac:dyDescent="0.25">
      <c r="A183" s="387"/>
      <c r="B183" s="387"/>
      <c r="C183" s="387"/>
      <c r="D183" s="387"/>
      <c r="E183" s="387"/>
      <c r="F183" s="387"/>
      <c r="G183" s="387"/>
      <c r="H183" s="387"/>
      <c r="I183" s="387"/>
      <c r="J183" s="387"/>
      <c r="K183" s="387"/>
      <c r="L183" s="387"/>
      <c r="M183" s="387"/>
      <c r="N183" s="387"/>
      <c r="O183" s="387"/>
      <c r="P183" s="389"/>
      <c r="Q183" s="389"/>
      <c r="R183" s="389"/>
      <c r="S183" s="389"/>
      <c r="T183" s="389"/>
      <c r="U183" s="389"/>
      <c r="V183" s="389"/>
      <c r="W183" s="389"/>
      <c r="X183" s="389"/>
      <c r="Y183" s="389"/>
      <c r="Z183" s="389"/>
      <c r="AA183" s="389"/>
      <c r="AB183" s="389"/>
      <c r="AC183" s="389"/>
      <c r="AD183" s="389"/>
      <c r="AE183" s="389"/>
      <c r="AF183" s="389"/>
      <c r="AG183" s="389"/>
      <c r="AH183" s="389"/>
      <c r="AI183" s="389"/>
      <c r="AJ183" s="389"/>
      <c r="AK183" s="389"/>
      <c r="AL183" s="389"/>
      <c r="AM183" s="389"/>
      <c r="AN183" s="389"/>
      <c r="AO183" s="389"/>
      <c r="AP183" s="389"/>
      <c r="AQ183" s="389"/>
      <c r="AR183" s="389"/>
      <c r="AS183" s="389"/>
      <c r="AT183" s="389"/>
      <c r="AU183" s="389"/>
      <c r="AV183" s="389"/>
      <c r="AW183" s="389"/>
      <c r="AX183" s="389"/>
    </row>
    <row r="184" spans="1:50" x14ac:dyDescent="0.25">
      <c r="A184" s="387"/>
      <c r="B184" s="387"/>
      <c r="C184" s="387"/>
      <c r="D184" s="387"/>
      <c r="E184" s="387"/>
      <c r="F184" s="387"/>
      <c r="G184" s="387"/>
      <c r="H184" s="387"/>
      <c r="I184" s="387"/>
      <c r="J184" s="387"/>
      <c r="K184" s="387"/>
      <c r="L184" s="387"/>
      <c r="M184" s="387"/>
      <c r="N184" s="387"/>
      <c r="O184" s="387"/>
      <c r="P184" s="389"/>
      <c r="Q184" s="389"/>
      <c r="R184" s="389"/>
      <c r="S184" s="389"/>
      <c r="T184" s="389"/>
      <c r="U184" s="389"/>
      <c r="V184" s="389"/>
      <c r="W184" s="389"/>
      <c r="X184" s="389"/>
      <c r="Y184" s="389"/>
      <c r="Z184" s="389"/>
      <c r="AA184" s="389"/>
      <c r="AB184" s="389"/>
      <c r="AC184" s="389"/>
      <c r="AD184" s="389"/>
      <c r="AE184" s="389"/>
      <c r="AF184" s="389"/>
      <c r="AG184" s="389"/>
      <c r="AH184" s="389"/>
      <c r="AI184" s="389"/>
      <c r="AJ184" s="389"/>
      <c r="AK184" s="389"/>
      <c r="AL184" s="389"/>
      <c r="AM184" s="389"/>
      <c r="AN184" s="389"/>
      <c r="AO184" s="389"/>
      <c r="AP184" s="389"/>
      <c r="AQ184" s="389"/>
      <c r="AR184" s="389"/>
      <c r="AS184" s="389"/>
      <c r="AT184" s="389"/>
      <c r="AU184" s="389"/>
      <c r="AV184" s="389"/>
      <c r="AW184" s="389"/>
      <c r="AX184" s="389"/>
    </row>
    <row r="185" spans="1:50" x14ac:dyDescent="0.25">
      <c r="A185" s="387"/>
      <c r="B185" s="387"/>
      <c r="C185" s="387"/>
      <c r="D185" s="387"/>
      <c r="E185" s="387"/>
      <c r="F185" s="387"/>
      <c r="G185" s="387"/>
      <c r="H185" s="387"/>
      <c r="I185" s="387"/>
      <c r="J185" s="387"/>
      <c r="K185" s="387"/>
      <c r="L185" s="387"/>
      <c r="M185" s="387"/>
      <c r="N185" s="387"/>
      <c r="O185" s="387"/>
      <c r="P185" s="389"/>
      <c r="Q185" s="389"/>
      <c r="R185" s="389"/>
      <c r="S185" s="389"/>
      <c r="T185" s="389"/>
      <c r="U185" s="389"/>
      <c r="V185" s="389"/>
      <c r="W185" s="389"/>
      <c r="X185" s="389"/>
      <c r="Y185" s="389"/>
      <c r="Z185" s="389"/>
      <c r="AA185" s="389"/>
      <c r="AB185" s="389"/>
      <c r="AC185" s="389"/>
      <c r="AD185" s="389"/>
      <c r="AE185" s="389"/>
      <c r="AF185" s="389"/>
      <c r="AG185" s="389"/>
      <c r="AH185" s="389"/>
      <c r="AI185" s="389"/>
      <c r="AJ185" s="389"/>
      <c r="AK185" s="389"/>
      <c r="AL185" s="389"/>
      <c r="AM185" s="389"/>
      <c r="AN185" s="389"/>
      <c r="AO185" s="389"/>
      <c r="AP185" s="389"/>
      <c r="AQ185" s="389"/>
      <c r="AR185" s="389"/>
      <c r="AS185" s="389"/>
      <c r="AT185" s="389"/>
      <c r="AU185" s="389"/>
      <c r="AV185" s="389"/>
      <c r="AW185" s="389"/>
      <c r="AX185" s="389"/>
    </row>
    <row r="186" spans="1:50" x14ac:dyDescent="0.25">
      <c r="A186" s="387"/>
      <c r="B186" s="387"/>
      <c r="C186" s="387"/>
      <c r="D186" s="387"/>
      <c r="E186" s="387"/>
      <c r="F186" s="387"/>
      <c r="G186" s="387"/>
      <c r="H186" s="387"/>
      <c r="I186" s="387"/>
      <c r="J186" s="387"/>
      <c r="K186" s="387"/>
      <c r="L186" s="387"/>
      <c r="M186" s="387"/>
      <c r="N186" s="387"/>
      <c r="O186" s="387"/>
      <c r="P186" s="389"/>
      <c r="Q186" s="389"/>
      <c r="R186" s="389"/>
      <c r="S186" s="389"/>
      <c r="T186" s="389"/>
      <c r="U186" s="389"/>
      <c r="V186" s="389"/>
      <c r="W186" s="389"/>
      <c r="X186" s="389"/>
      <c r="Y186" s="389"/>
      <c r="Z186" s="389"/>
      <c r="AA186" s="389"/>
      <c r="AB186" s="389"/>
      <c r="AC186" s="389"/>
      <c r="AD186" s="389"/>
      <c r="AE186" s="389"/>
      <c r="AF186" s="389"/>
      <c r="AG186" s="389"/>
      <c r="AH186" s="389"/>
      <c r="AI186" s="389"/>
      <c r="AJ186" s="389"/>
      <c r="AK186" s="389"/>
      <c r="AL186" s="389"/>
      <c r="AM186" s="389"/>
      <c r="AN186" s="389"/>
      <c r="AO186" s="389"/>
      <c r="AP186" s="389"/>
      <c r="AQ186" s="389"/>
      <c r="AR186" s="389"/>
      <c r="AS186" s="389"/>
      <c r="AT186" s="389"/>
      <c r="AU186" s="389"/>
      <c r="AV186" s="389"/>
      <c r="AW186" s="389"/>
      <c r="AX186" s="389"/>
    </row>
    <row r="187" spans="1:50" x14ac:dyDescent="0.25">
      <c r="A187" s="387"/>
      <c r="B187" s="387"/>
      <c r="C187" s="387"/>
      <c r="D187" s="387"/>
      <c r="E187" s="387"/>
      <c r="F187" s="387"/>
      <c r="G187" s="387"/>
      <c r="H187" s="387"/>
      <c r="I187" s="387"/>
      <c r="J187" s="387"/>
      <c r="K187" s="387"/>
      <c r="L187" s="387"/>
      <c r="M187" s="387"/>
      <c r="N187" s="387"/>
      <c r="O187" s="387"/>
      <c r="P187" s="389"/>
      <c r="Q187" s="389"/>
      <c r="R187" s="389"/>
      <c r="S187" s="389"/>
      <c r="T187" s="389"/>
      <c r="U187" s="389"/>
      <c r="V187" s="389"/>
      <c r="W187" s="389"/>
      <c r="X187" s="389"/>
      <c r="Y187" s="389"/>
      <c r="Z187" s="389"/>
      <c r="AA187" s="389"/>
      <c r="AB187" s="389"/>
      <c r="AC187" s="389"/>
      <c r="AD187" s="389"/>
      <c r="AE187" s="389"/>
      <c r="AF187" s="389"/>
      <c r="AG187" s="389"/>
      <c r="AH187" s="389"/>
      <c r="AI187" s="389"/>
      <c r="AJ187" s="389"/>
      <c r="AK187" s="389"/>
      <c r="AL187" s="389"/>
      <c r="AM187" s="389"/>
      <c r="AN187" s="389"/>
      <c r="AO187" s="389"/>
      <c r="AP187" s="389"/>
      <c r="AQ187" s="389"/>
      <c r="AR187" s="389"/>
      <c r="AS187" s="389"/>
      <c r="AT187" s="389"/>
      <c r="AU187" s="389"/>
      <c r="AV187" s="389"/>
      <c r="AW187" s="389"/>
      <c r="AX187" s="389"/>
    </row>
    <row r="188" spans="1:50" x14ac:dyDescent="0.25">
      <c r="A188" s="387"/>
      <c r="B188" s="387"/>
      <c r="C188" s="387"/>
      <c r="D188" s="387"/>
      <c r="E188" s="387"/>
      <c r="F188" s="387"/>
      <c r="G188" s="387"/>
      <c r="H188" s="387"/>
      <c r="I188" s="387"/>
      <c r="J188" s="387"/>
      <c r="K188" s="387"/>
      <c r="L188" s="387"/>
      <c r="M188" s="387"/>
      <c r="N188" s="387"/>
      <c r="O188" s="387"/>
      <c r="P188" s="389"/>
      <c r="Q188" s="389"/>
      <c r="R188" s="389"/>
      <c r="S188" s="389"/>
      <c r="T188" s="389"/>
      <c r="U188" s="389"/>
      <c r="V188" s="389"/>
      <c r="W188" s="389"/>
      <c r="X188" s="389"/>
      <c r="Y188" s="389"/>
      <c r="Z188" s="389"/>
      <c r="AA188" s="389"/>
      <c r="AB188" s="389"/>
      <c r="AC188" s="389"/>
      <c r="AD188" s="389"/>
      <c r="AE188" s="389"/>
      <c r="AF188" s="389"/>
      <c r="AG188" s="389"/>
      <c r="AH188" s="389"/>
      <c r="AI188" s="389"/>
      <c r="AJ188" s="389"/>
      <c r="AK188" s="389"/>
      <c r="AL188" s="389"/>
      <c r="AM188" s="389"/>
      <c r="AN188" s="389"/>
      <c r="AO188" s="389"/>
      <c r="AP188" s="389"/>
      <c r="AQ188" s="389"/>
      <c r="AR188" s="389"/>
      <c r="AS188" s="389"/>
      <c r="AT188" s="389"/>
      <c r="AU188" s="389"/>
      <c r="AV188" s="389"/>
      <c r="AW188" s="389"/>
      <c r="AX188" s="389"/>
    </row>
    <row r="189" spans="1:50" x14ac:dyDescent="0.25">
      <c r="A189" s="387"/>
      <c r="B189" s="387"/>
      <c r="C189" s="387"/>
      <c r="D189" s="387"/>
      <c r="E189" s="387"/>
      <c r="F189" s="387"/>
      <c r="G189" s="387"/>
      <c r="H189" s="387"/>
      <c r="I189" s="387"/>
      <c r="J189" s="387"/>
      <c r="K189" s="387"/>
      <c r="L189" s="387"/>
      <c r="M189" s="387"/>
      <c r="N189" s="387"/>
      <c r="O189" s="387"/>
      <c r="P189" s="389"/>
      <c r="Q189" s="389"/>
      <c r="R189" s="389"/>
      <c r="S189" s="389"/>
      <c r="T189" s="389"/>
      <c r="U189" s="389"/>
      <c r="V189" s="389"/>
      <c r="W189" s="389"/>
      <c r="X189" s="389"/>
      <c r="Y189" s="389"/>
      <c r="Z189" s="389"/>
      <c r="AA189" s="389"/>
      <c r="AB189" s="389"/>
      <c r="AC189" s="389"/>
      <c r="AD189" s="389"/>
      <c r="AE189" s="389"/>
      <c r="AF189" s="389"/>
      <c r="AG189" s="389"/>
      <c r="AH189" s="389"/>
      <c r="AI189" s="389"/>
      <c r="AJ189" s="389"/>
      <c r="AK189" s="389"/>
      <c r="AL189" s="389"/>
      <c r="AM189" s="389"/>
      <c r="AN189" s="389"/>
      <c r="AO189" s="389"/>
      <c r="AP189" s="389"/>
      <c r="AQ189" s="389"/>
      <c r="AR189" s="389"/>
      <c r="AS189" s="389"/>
      <c r="AT189" s="389"/>
      <c r="AU189" s="389"/>
      <c r="AV189" s="389"/>
      <c r="AW189" s="389"/>
      <c r="AX189" s="389"/>
    </row>
    <row r="190" spans="1:50" x14ac:dyDescent="0.25">
      <c r="A190" s="387"/>
      <c r="B190" s="387"/>
      <c r="C190" s="387"/>
      <c r="D190" s="387"/>
      <c r="E190" s="387"/>
      <c r="F190" s="387"/>
      <c r="G190" s="387"/>
      <c r="H190" s="387"/>
      <c r="I190" s="387"/>
      <c r="J190" s="387"/>
      <c r="K190" s="387"/>
      <c r="L190" s="387"/>
      <c r="M190" s="387"/>
      <c r="N190" s="387"/>
      <c r="O190" s="387"/>
      <c r="P190" s="389"/>
      <c r="Q190" s="389"/>
      <c r="R190" s="389"/>
      <c r="S190" s="389"/>
      <c r="T190" s="389"/>
      <c r="U190" s="389"/>
      <c r="V190" s="389"/>
      <c r="W190" s="389"/>
      <c r="X190" s="389"/>
      <c r="Y190" s="389"/>
      <c r="Z190" s="389"/>
      <c r="AA190" s="389"/>
      <c r="AB190" s="389"/>
      <c r="AC190" s="389"/>
      <c r="AD190" s="389"/>
      <c r="AE190" s="389"/>
      <c r="AF190" s="389"/>
      <c r="AG190" s="389"/>
      <c r="AH190" s="389"/>
      <c r="AI190" s="389"/>
      <c r="AJ190" s="389"/>
      <c r="AK190" s="389"/>
      <c r="AL190" s="389"/>
      <c r="AM190" s="389"/>
      <c r="AN190" s="389"/>
      <c r="AO190" s="389"/>
      <c r="AP190" s="389"/>
      <c r="AQ190" s="389"/>
      <c r="AR190" s="389"/>
      <c r="AS190" s="389"/>
      <c r="AT190" s="389"/>
      <c r="AU190" s="389"/>
      <c r="AV190" s="389"/>
      <c r="AW190" s="389"/>
      <c r="AX190" s="389"/>
    </row>
    <row r="191" spans="1:50" x14ac:dyDescent="0.25">
      <c r="A191" s="387"/>
      <c r="B191" s="387"/>
      <c r="C191" s="387"/>
      <c r="D191" s="387"/>
      <c r="E191" s="387"/>
      <c r="F191" s="387"/>
      <c r="G191" s="387"/>
      <c r="H191" s="387"/>
      <c r="I191" s="387"/>
      <c r="J191" s="387"/>
      <c r="K191" s="387"/>
      <c r="L191" s="387"/>
      <c r="M191" s="387"/>
      <c r="N191" s="387"/>
      <c r="O191" s="387"/>
      <c r="P191" s="389"/>
      <c r="Q191" s="389"/>
      <c r="R191" s="389"/>
      <c r="S191" s="389"/>
      <c r="T191" s="389"/>
      <c r="U191" s="389"/>
      <c r="V191" s="389"/>
      <c r="W191" s="389"/>
      <c r="X191" s="389"/>
      <c r="Y191" s="389"/>
      <c r="Z191" s="389"/>
      <c r="AA191" s="389"/>
      <c r="AB191" s="389"/>
      <c r="AC191" s="389"/>
      <c r="AD191" s="389"/>
      <c r="AE191" s="389"/>
      <c r="AF191" s="389"/>
      <c r="AG191" s="389"/>
      <c r="AH191" s="389"/>
      <c r="AI191" s="389"/>
      <c r="AJ191" s="389"/>
      <c r="AK191" s="389"/>
      <c r="AL191" s="389"/>
      <c r="AM191" s="389"/>
      <c r="AN191" s="389"/>
      <c r="AO191" s="389"/>
      <c r="AP191" s="389"/>
      <c r="AQ191" s="389"/>
      <c r="AR191" s="389"/>
      <c r="AS191" s="389"/>
      <c r="AT191" s="389"/>
      <c r="AU191" s="389"/>
      <c r="AV191" s="389"/>
      <c r="AW191" s="389"/>
      <c r="AX191" s="389"/>
    </row>
    <row r="192" spans="1:50" x14ac:dyDescent="0.25">
      <c r="A192" s="387"/>
      <c r="B192" s="387"/>
      <c r="C192" s="387"/>
      <c r="D192" s="387"/>
      <c r="E192" s="387"/>
      <c r="F192" s="387"/>
      <c r="G192" s="387"/>
      <c r="H192" s="387"/>
      <c r="I192" s="387"/>
      <c r="J192" s="387"/>
      <c r="K192" s="387"/>
      <c r="L192" s="387"/>
      <c r="M192" s="387"/>
      <c r="N192" s="387"/>
      <c r="O192" s="387"/>
      <c r="P192" s="389"/>
      <c r="Q192" s="389"/>
      <c r="R192" s="389"/>
      <c r="S192" s="389"/>
      <c r="T192" s="389"/>
      <c r="U192" s="389"/>
      <c r="V192" s="389"/>
      <c r="W192" s="389"/>
      <c r="X192" s="389"/>
      <c r="Y192" s="389"/>
      <c r="Z192" s="389"/>
      <c r="AA192" s="389"/>
      <c r="AB192" s="389"/>
      <c r="AC192" s="389"/>
      <c r="AD192" s="389"/>
      <c r="AE192" s="389"/>
      <c r="AF192" s="389"/>
      <c r="AG192" s="389"/>
      <c r="AH192" s="389"/>
      <c r="AI192" s="389"/>
      <c r="AJ192" s="389"/>
      <c r="AK192" s="389"/>
      <c r="AL192" s="389"/>
      <c r="AM192" s="389"/>
      <c r="AN192" s="389"/>
      <c r="AO192" s="389"/>
      <c r="AP192" s="389"/>
      <c r="AQ192" s="389"/>
      <c r="AR192" s="389"/>
      <c r="AS192" s="389"/>
      <c r="AT192" s="389"/>
      <c r="AU192" s="389"/>
      <c r="AV192" s="389"/>
      <c r="AW192" s="389"/>
      <c r="AX192" s="389"/>
    </row>
    <row r="193" spans="1:50" x14ac:dyDescent="0.25">
      <c r="A193" s="387"/>
      <c r="B193" s="387"/>
      <c r="C193" s="387"/>
      <c r="D193" s="387"/>
      <c r="E193" s="387"/>
      <c r="F193" s="387"/>
      <c r="G193" s="387"/>
      <c r="H193" s="387"/>
      <c r="I193" s="387"/>
      <c r="J193" s="387"/>
      <c r="K193" s="387"/>
      <c r="L193" s="387"/>
      <c r="M193" s="387"/>
      <c r="N193" s="387"/>
      <c r="O193" s="387"/>
      <c r="P193" s="389"/>
      <c r="Q193" s="389"/>
      <c r="R193" s="389"/>
      <c r="S193" s="389"/>
      <c r="T193" s="389"/>
      <c r="U193" s="389"/>
      <c r="V193" s="389"/>
      <c r="W193" s="389"/>
      <c r="X193" s="389"/>
      <c r="Y193" s="389"/>
      <c r="Z193" s="389"/>
      <c r="AA193" s="389"/>
      <c r="AB193" s="389"/>
      <c r="AC193" s="389"/>
      <c r="AD193" s="389"/>
      <c r="AE193" s="389"/>
      <c r="AF193" s="389"/>
      <c r="AG193" s="389"/>
      <c r="AH193" s="389"/>
      <c r="AI193" s="389"/>
      <c r="AJ193" s="389"/>
      <c r="AK193" s="389"/>
      <c r="AL193" s="389"/>
      <c r="AM193" s="389"/>
      <c r="AN193" s="389"/>
      <c r="AO193" s="389"/>
      <c r="AP193" s="389"/>
      <c r="AQ193" s="389"/>
      <c r="AR193" s="389"/>
      <c r="AS193" s="389"/>
      <c r="AT193" s="389"/>
      <c r="AU193" s="389"/>
      <c r="AV193" s="389"/>
      <c r="AW193" s="389"/>
      <c r="AX193" s="389"/>
    </row>
    <row r="194" spans="1:50" x14ac:dyDescent="0.25">
      <c r="A194" s="387"/>
      <c r="B194" s="387"/>
      <c r="C194" s="387"/>
      <c r="D194" s="387"/>
      <c r="E194" s="387"/>
      <c r="F194" s="387"/>
      <c r="G194" s="387"/>
      <c r="H194" s="387"/>
      <c r="I194" s="387"/>
      <c r="J194" s="387"/>
      <c r="K194" s="387"/>
      <c r="L194" s="387"/>
      <c r="M194" s="387"/>
      <c r="N194" s="387"/>
      <c r="O194" s="387"/>
      <c r="P194" s="389"/>
      <c r="Q194" s="389"/>
      <c r="R194" s="389"/>
      <c r="S194" s="389"/>
      <c r="T194" s="389"/>
      <c r="U194" s="389"/>
      <c r="V194" s="389"/>
      <c r="W194" s="389"/>
      <c r="X194" s="389"/>
      <c r="Y194" s="389"/>
      <c r="Z194" s="389"/>
      <c r="AA194" s="389"/>
      <c r="AB194" s="389"/>
      <c r="AC194" s="389"/>
      <c r="AD194" s="389"/>
      <c r="AE194" s="389"/>
      <c r="AF194" s="389"/>
      <c r="AG194" s="389"/>
      <c r="AH194" s="389"/>
      <c r="AI194" s="389"/>
      <c r="AJ194" s="389"/>
      <c r="AK194" s="389"/>
      <c r="AL194" s="389"/>
      <c r="AM194" s="389"/>
      <c r="AN194" s="389"/>
      <c r="AO194" s="389"/>
      <c r="AP194" s="389"/>
      <c r="AQ194" s="389"/>
      <c r="AR194" s="389"/>
      <c r="AS194" s="389"/>
      <c r="AT194" s="389"/>
      <c r="AU194" s="389"/>
      <c r="AV194" s="389"/>
      <c r="AW194" s="389"/>
      <c r="AX194" s="389"/>
    </row>
    <row r="195" spans="1:50" x14ac:dyDescent="0.25">
      <c r="A195" s="387"/>
      <c r="B195" s="387"/>
      <c r="C195" s="387"/>
      <c r="D195" s="387"/>
      <c r="E195" s="387"/>
      <c r="F195" s="387"/>
      <c r="G195" s="387"/>
      <c r="H195" s="387"/>
      <c r="I195" s="387"/>
      <c r="J195" s="387"/>
      <c r="K195" s="387"/>
      <c r="L195" s="387"/>
      <c r="M195" s="387"/>
      <c r="N195" s="387"/>
      <c r="O195" s="387"/>
      <c r="P195" s="389"/>
      <c r="Q195" s="389"/>
      <c r="R195" s="389"/>
      <c r="S195" s="389"/>
      <c r="T195" s="389"/>
      <c r="U195" s="389"/>
      <c r="V195" s="389"/>
      <c r="W195" s="389"/>
      <c r="X195" s="389"/>
      <c r="Y195" s="389"/>
      <c r="Z195" s="389"/>
      <c r="AA195" s="389"/>
      <c r="AB195" s="389"/>
      <c r="AC195" s="389"/>
      <c r="AD195" s="389"/>
      <c r="AE195" s="389"/>
      <c r="AF195" s="389"/>
      <c r="AG195" s="389"/>
      <c r="AH195" s="389"/>
      <c r="AI195" s="389"/>
      <c r="AJ195" s="389"/>
      <c r="AK195" s="389"/>
      <c r="AL195" s="389"/>
      <c r="AM195" s="389"/>
      <c r="AN195" s="389"/>
      <c r="AO195" s="389"/>
      <c r="AP195" s="389"/>
      <c r="AQ195" s="389"/>
      <c r="AR195" s="389"/>
      <c r="AS195" s="389"/>
      <c r="AT195" s="389"/>
      <c r="AU195" s="389"/>
      <c r="AV195" s="389"/>
      <c r="AW195" s="389"/>
      <c r="AX195" s="389"/>
    </row>
    <row r="196" spans="1:50" x14ac:dyDescent="0.25">
      <c r="A196" s="387"/>
      <c r="B196" s="387"/>
      <c r="C196" s="387"/>
      <c r="D196" s="387"/>
      <c r="E196" s="387"/>
      <c r="F196" s="387"/>
      <c r="G196" s="387"/>
      <c r="H196" s="387"/>
      <c r="I196" s="387"/>
      <c r="J196" s="387"/>
      <c r="K196" s="387"/>
      <c r="L196" s="387"/>
      <c r="M196" s="387"/>
      <c r="N196" s="387"/>
      <c r="O196" s="387"/>
      <c r="P196" s="389"/>
      <c r="Q196" s="389"/>
      <c r="R196" s="389"/>
      <c r="S196" s="389"/>
      <c r="T196" s="389"/>
      <c r="U196" s="389"/>
      <c r="V196" s="389"/>
      <c r="W196" s="389"/>
      <c r="X196" s="389"/>
      <c r="Y196" s="389"/>
      <c r="Z196" s="389"/>
      <c r="AA196" s="389"/>
      <c r="AB196" s="389"/>
      <c r="AC196" s="389"/>
      <c r="AD196" s="389"/>
      <c r="AE196" s="389"/>
      <c r="AF196" s="389"/>
      <c r="AG196" s="389"/>
      <c r="AH196" s="389"/>
      <c r="AI196" s="389"/>
      <c r="AJ196" s="389"/>
      <c r="AK196" s="389"/>
      <c r="AL196" s="389"/>
      <c r="AM196" s="389"/>
      <c r="AN196" s="389"/>
      <c r="AO196" s="389"/>
      <c r="AP196" s="389"/>
      <c r="AQ196" s="389"/>
      <c r="AR196" s="389"/>
      <c r="AS196" s="389"/>
      <c r="AT196" s="389"/>
      <c r="AU196" s="389"/>
      <c r="AV196" s="389"/>
      <c r="AW196" s="389"/>
      <c r="AX196" s="389"/>
    </row>
    <row r="197" spans="1:50" x14ac:dyDescent="0.25">
      <c r="A197" s="387"/>
      <c r="B197" s="387"/>
      <c r="C197" s="387"/>
      <c r="D197" s="387"/>
      <c r="E197" s="387"/>
      <c r="F197" s="387"/>
      <c r="G197" s="387"/>
      <c r="H197" s="387"/>
      <c r="I197" s="387"/>
      <c r="J197" s="387"/>
      <c r="K197" s="387"/>
      <c r="L197" s="387"/>
      <c r="M197" s="387"/>
      <c r="N197" s="387"/>
      <c r="O197" s="387"/>
      <c r="P197" s="389"/>
      <c r="Q197" s="389"/>
      <c r="R197" s="389"/>
      <c r="S197" s="389"/>
      <c r="T197" s="389"/>
      <c r="U197" s="389"/>
      <c r="V197" s="389"/>
      <c r="W197" s="389"/>
      <c r="X197" s="389"/>
      <c r="Y197" s="389"/>
      <c r="Z197" s="389"/>
      <c r="AA197" s="389"/>
      <c r="AB197" s="389"/>
      <c r="AC197" s="389"/>
      <c r="AD197" s="389"/>
      <c r="AE197" s="389"/>
      <c r="AF197" s="389"/>
      <c r="AG197" s="389"/>
      <c r="AH197" s="389"/>
      <c r="AI197" s="389"/>
      <c r="AJ197" s="389"/>
      <c r="AK197" s="389"/>
      <c r="AL197" s="389"/>
      <c r="AM197" s="389"/>
      <c r="AN197" s="389"/>
      <c r="AO197" s="389"/>
      <c r="AP197" s="389"/>
      <c r="AQ197" s="389"/>
      <c r="AR197" s="389"/>
      <c r="AS197" s="389"/>
      <c r="AT197" s="389"/>
      <c r="AU197" s="389"/>
      <c r="AV197" s="389"/>
      <c r="AW197" s="389"/>
      <c r="AX197" s="389"/>
    </row>
    <row r="198" spans="1:50" x14ac:dyDescent="0.25">
      <c r="A198" s="387"/>
      <c r="B198" s="387"/>
      <c r="C198" s="387"/>
      <c r="D198" s="387"/>
      <c r="E198" s="387"/>
      <c r="F198" s="387"/>
      <c r="G198" s="387"/>
      <c r="H198" s="387"/>
      <c r="I198" s="387"/>
      <c r="J198" s="387"/>
      <c r="K198" s="387"/>
      <c r="L198" s="387"/>
      <c r="M198" s="387"/>
      <c r="N198" s="387"/>
      <c r="O198" s="387"/>
      <c r="P198" s="389"/>
      <c r="Q198" s="389"/>
      <c r="R198" s="389"/>
      <c r="S198" s="389"/>
      <c r="T198" s="389"/>
      <c r="U198" s="389"/>
      <c r="V198" s="389"/>
      <c r="W198" s="389"/>
      <c r="X198" s="389"/>
      <c r="Y198" s="389"/>
      <c r="Z198" s="389"/>
      <c r="AA198" s="389"/>
      <c r="AB198" s="389"/>
      <c r="AC198" s="389"/>
      <c r="AD198" s="389"/>
      <c r="AE198" s="389"/>
      <c r="AF198" s="389"/>
      <c r="AG198" s="389"/>
      <c r="AH198" s="389"/>
      <c r="AI198" s="389"/>
      <c r="AJ198" s="389"/>
      <c r="AK198" s="389"/>
      <c r="AL198" s="389"/>
      <c r="AM198" s="389"/>
      <c r="AN198" s="389"/>
      <c r="AO198" s="389"/>
      <c r="AP198" s="389"/>
      <c r="AQ198" s="389"/>
      <c r="AR198" s="389"/>
      <c r="AS198" s="389"/>
      <c r="AT198" s="389"/>
      <c r="AU198" s="389"/>
      <c r="AV198" s="389"/>
      <c r="AW198" s="389"/>
      <c r="AX198" s="389"/>
    </row>
    <row r="199" spans="1:50" x14ac:dyDescent="0.25">
      <c r="A199" s="387"/>
      <c r="B199" s="387"/>
      <c r="C199" s="387"/>
      <c r="D199" s="387"/>
      <c r="E199" s="387"/>
      <c r="F199" s="387"/>
      <c r="G199" s="387"/>
      <c r="H199" s="387"/>
      <c r="I199" s="387"/>
      <c r="J199" s="387"/>
      <c r="K199" s="387"/>
      <c r="L199" s="387"/>
      <c r="M199" s="387"/>
      <c r="N199" s="387"/>
      <c r="O199" s="387"/>
      <c r="P199" s="389"/>
      <c r="Q199" s="389"/>
      <c r="R199" s="389"/>
      <c r="S199" s="389"/>
      <c r="T199" s="389"/>
      <c r="U199" s="389"/>
      <c r="V199" s="389"/>
      <c r="W199" s="389"/>
      <c r="X199" s="389"/>
      <c r="Y199" s="389"/>
      <c r="Z199" s="389"/>
      <c r="AA199" s="389"/>
      <c r="AB199" s="389"/>
      <c r="AC199" s="389"/>
      <c r="AD199" s="389"/>
      <c r="AE199" s="389"/>
      <c r="AF199" s="389"/>
      <c r="AG199" s="389"/>
      <c r="AH199" s="389"/>
      <c r="AI199" s="389"/>
      <c r="AJ199" s="389"/>
      <c r="AK199" s="389"/>
      <c r="AL199" s="389"/>
      <c r="AM199" s="389"/>
      <c r="AN199" s="389"/>
      <c r="AO199" s="389"/>
      <c r="AP199" s="389"/>
      <c r="AQ199" s="389"/>
      <c r="AR199" s="389"/>
      <c r="AS199" s="389"/>
      <c r="AT199" s="389"/>
      <c r="AU199" s="389"/>
      <c r="AV199" s="389"/>
      <c r="AW199" s="389"/>
      <c r="AX199" s="389"/>
    </row>
    <row r="200" spans="1:50" x14ac:dyDescent="0.25">
      <c r="A200" s="387"/>
      <c r="B200" s="387"/>
      <c r="C200" s="387"/>
      <c r="D200" s="387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87"/>
      <c r="P200" s="389"/>
      <c r="Q200" s="389"/>
      <c r="R200" s="389"/>
      <c r="S200" s="389"/>
      <c r="T200" s="389"/>
      <c r="U200" s="389"/>
      <c r="V200" s="389"/>
      <c r="W200" s="389"/>
      <c r="X200" s="389"/>
      <c r="Y200" s="389"/>
      <c r="Z200" s="389"/>
      <c r="AA200" s="389"/>
      <c r="AB200" s="389"/>
      <c r="AC200" s="389"/>
      <c r="AD200" s="389"/>
      <c r="AE200" s="389"/>
      <c r="AF200" s="389"/>
      <c r="AG200" s="389"/>
      <c r="AH200" s="389"/>
      <c r="AI200" s="389"/>
      <c r="AJ200" s="389"/>
      <c r="AK200" s="389"/>
      <c r="AL200" s="389"/>
      <c r="AM200" s="389"/>
      <c r="AN200" s="389"/>
      <c r="AO200" s="389"/>
      <c r="AP200" s="389"/>
      <c r="AQ200" s="389"/>
      <c r="AR200" s="389"/>
      <c r="AS200" s="389"/>
      <c r="AT200" s="389"/>
      <c r="AU200" s="389"/>
      <c r="AV200" s="389"/>
      <c r="AW200" s="389"/>
      <c r="AX200" s="389"/>
    </row>
    <row r="201" spans="1:50" x14ac:dyDescent="0.25">
      <c r="A201" s="387"/>
      <c r="B201" s="387"/>
      <c r="C201" s="387"/>
      <c r="D201" s="387"/>
      <c r="E201" s="387"/>
      <c r="F201" s="387"/>
      <c r="G201" s="387"/>
      <c r="H201" s="387"/>
      <c r="I201" s="387"/>
      <c r="J201" s="387"/>
      <c r="K201" s="387"/>
      <c r="L201" s="387"/>
      <c r="M201" s="387"/>
      <c r="N201" s="387"/>
      <c r="O201" s="387"/>
      <c r="P201" s="389"/>
      <c r="Q201" s="389"/>
      <c r="R201" s="389"/>
      <c r="S201" s="389"/>
      <c r="T201" s="389"/>
      <c r="U201" s="389"/>
      <c r="V201" s="389"/>
      <c r="W201" s="389"/>
      <c r="X201" s="389"/>
      <c r="Y201" s="389"/>
      <c r="Z201" s="389"/>
      <c r="AA201" s="389"/>
      <c r="AB201" s="389"/>
      <c r="AC201" s="389"/>
      <c r="AD201" s="389"/>
      <c r="AE201" s="389"/>
      <c r="AF201" s="389"/>
      <c r="AG201" s="389"/>
      <c r="AH201" s="389"/>
      <c r="AI201" s="389"/>
      <c r="AJ201" s="389"/>
      <c r="AK201" s="389"/>
      <c r="AL201" s="389"/>
      <c r="AM201" s="389"/>
      <c r="AN201" s="389"/>
      <c r="AO201" s="389"/>
      <c r="AP201" s="389"/>
      <c r="AQ201" s="389"/>
      <c r="AR201" s="389"/>
      <c r="AS201" s="389"/>
      <c r="AT201" s="389"/>
      <c r="AU201" s="389"/>
      <c r="AV201" s="389"/>
      <c r="AW201" s="389"/>
      <c r="AX201" s="389"/>
    </row>
    <row r="202" spans="1:50" x14ac:dyDescent="0.25">
      <c r="A202" s="387"/>
      <c r="B202" s="387"/>
      <c r="C202" s="387"/>
      <c r="D202" s="387"/>
      <c r="E202" s="387"/>
      <c r="F202" s="387"/>
      <c r="G202" s="387"/>
      <c r="H202" s="387"/>
      <c r="I202" s="387"/>
      <c r="J202" s="387"/>
      <c r="K202" s="387"/>
      <c r="L202" s="387"/>
      <c r="M202" s="387"/>
      <c r="N202" s="387"/>
      <c r="O202" s="387"/>
      <c r="P202" s="389"/>
      <c r="Q202" s="389"/>
      <c r="R202" s="389"/>
      <c r="S202" s="389"/>
      <c r="T202" s="389"/>
      <c r="U202" s="389"/>
      <c r="V202" s="389"/>
      <c r="W202" s="389"/>
      <c r="X202" s="389"/>
      <c r="Y202" s="389"/>
      <c r="Z202" s="389"/>
      <c r="AA202" s="389"/>
      <c r="AB202" s="389"/>
      <c r="AC202" s="389"/>
      <c r="AD202" s="389"/>
      <c r="AE202" s="389"/>
      <c r="AF202" s="389"/>
      <c r="AG202" s="389"/>
      <c r="AH202" s="389"/>
      <c r="AI202" s="389"/>
      <c r="AJ202" s="389"/>
      <c r="AK202" s="389"/>
      <c r="AL202" s="389"/>
      <c r="AM202" s="389"/>
      <c r="AN202" s="389"/>
      <c r="AO202" s="389"/>
      <c r="AP202" s="389"/>
      <c r="AQ202" s="389"/>
      <c r="AR202" s="389"/>
      <c r="AS202" s="389"/>
      <c r="AT202" s="389"/>
      <c r="AU202" s="389"/>
      <c r="AV202" s="389"/>
      <c r="AW202" s="389"/>
      <c r="AX202" s="389"/>
    </row>
    <row r="203" spans="1:50" x14ac:dyDescent="0.25">
      <c r="A203" s="387"/>
      <c r="B203" s="387"/>
      <c r="C203" s="387"/>
      <c r="D203" s="387"/>
      <c r="E203" s="387"/>
      <c r="F203" s="387"/>
      <c r="G203" s="387"/>
      <c r="H203" s="387"/>
      <c r="I203" s="387"/>
      <c r="J203" s="387"/>
      <c r="K203" s="387"/>
      <c r="L203" s="387"/>
      <c r="M203" s="387"/>
      <c r="N203" s="387"/>
      <c r="O203" s="387"/>
      <c r="P203" s="389"/>
      <c r="Q203" s="389"/>
      <c r="R203" s="389"/>
      <c r="S203" s="389"/>
      <c r="T203" s="389"/>
      <c r="U203" s="389"/>
      <c r="V203" s="389"/>
      <c r="W203" s="389"/>
      <c r="X203" s="389"/>
      <c r="Y203" s="389"/>
      <c r="Z203" s="389"/>
      <c r="AA203" s="389"/>
      <c r="AB203" s="389"/>
      <c r="AC203" s="389"/>
      <c r="AD203" s="389"/>
      <c r="AE203" s="389"/>
      <c r="AF203" s="389"/>
      <c r="AG203" s="389"/>
      <c r="AH203" s="389"/>
      <c r="AI203" s="389"/>
      <c r="AJ203" s="389"/>
      <c r="AK203" s="389"/>
      <c r="AL203" s="389"/>
      <c r="AM203" s="389"/>
      <c r="AN203" s="389"/>
      <c r="AO203" s="389"/>
      <c r="AP203" s="389"/>
      <c r="AQ203" s="389"/>
      <c r="AR203" s="389"/>
      <c r="AS203" s="389"/>
      <c r="AT203" s="389"/>
      <c r="AU203" s="389"/>
      <c r="AV203" s="389"/>
      <c r="AW203" s="389"/>
      <c r="AX203" s="389"/>
    </row>
    <row r="204" spans="1:50" x14ac:dyDescent="0.25">
      <c r="A204" s="387"/>
      <c r="B204" s="387"/>
      <c r="C204" s="387"/>
      <c r="D204" s="387"/>
      <c r="E204" s="387"/>
      <c r="F204" s="387"/>
      <c r="G204" s="387"/>
      <c r="H204" s="387"/>
      <c r="I204" s="387"/>
      <c r="J204" s="387"/>
      <c r="K204" s="387"/>
      <c r="L204" s="387"/>
      <c r="M204" s="387"/>
      <c r="N204" s="387"/>
      <c r="O204" s="387"/>
      <c r="P204" s="389"/>
      <c r="Q204" s="389"/>
      <c r="R204" s="389"/>
      <c r="S204" s="389"/>
      <c r="T204" s="389"/>
      <c r="U204" s="389"/>
      <c r="V204" s="389"/>
      <c r="W204" s="389"/>
      <c r="X204" s="389"/>
      <c r="Y204" s="389"/>
      <c r="Z204" s="389"/>
      <c r="AA204" s="389"/>
      <c r="AB204" s="389"/>
      <c r="AC204" s="389"/>
      <c r="AD204" s="389"/>
      <c r="AE204" s="389"/>
      <c r="AF204" s="389"/>
      <c r="AG204" s="389"/>
      <c r="AH204" s="389"/>
      <c r="AI204" s="389"/>
      <c r="AJ204" s="389"/>
      <c r="AK204" s="389"/>
      <c r="AL204" s="389"/>
      <c r="AM204" s="389"/>
      <c r="AN204" s="389"/>
      <c r="AO204" s="389"/>
      <c r="AP204" s="389"/>
      <c r="AQ204" s="389"/>
      <c r="AR204" s="389"/>
      <c r="AS204" s="389"/>
      <c r="AT204" s="389"/>
      <c r="AU204" s="389"/>
      <c r="AV204" s="389"/>
      <c r="AW204" s="389"/>
      <c r="AX204" s="389"/>
    </row>
    <row r="205" spans="1:50" x14ac:dyDescent="0.25">
      <c r="A205" s="387"/>
      <c r="B205" s="387"/>
      <c r="C205" s="387"/>
      <c r="D205" s="387"/>
      <c r="E205" s="387"/>
      <c r="F205" s="387"/>
      <c r="G205" s="387"/>
      <c r="H205" s="387"/>
      <c r="I205" s="387"/>
      <c r="J205" s="387"/>
      <c r="K205" s="387"/>
      <c r="L205" s="387"/>
      <c r="M205" s="387"/>
      <c r="N205" s="387"/>
      <c r="O205" s="387"/>
      <c r="P205" s="389"/>
      <c r="Q205" s="389"/>
      <c r="R205" s="389"/>
      <c r="S205" s="389"/>
      <c r="T205" s="389"/>
      <c r="U205" s="389"/>
      <c r="V205" s="389"/>
      <c r="W205" s="389"/>
      <c r="X205" s="389"/>
      <c r="Y205" s="389"/>
      <c r="Z205" s="389"/>
      <c r="AA205" s="389"/>
      <c r="AB205" s="389"/>
      <c r="AC205" s="389"/>
      <c r="AD205" s="389"/>
      <c r="AE205" s="389"/>
      <c r="AF205" s="389"/>
      <c r="AG205" s="389"/>
      <c r="AH205" s="389"/>
      <c r="AI205" s="389"/>
      <c r="AJ205" s="389"/>
      <c r="AK205" s="389"/>
      <c r="AL205" s="389"/>
      <c r="AM205" s="389"/>
      <c r="AN205" s="389"/>
      <c r="AO205" s="389"/>
      <c r="AP205" s="389"/>
      <c r="AQ205" s="389"/>
      <c r="AR205" s="389"/>
      <c r="AS205" s="389"/>
      <c r="AT205" s="389"/>
      <c r="AU205" s="389"/>
      <c r="AV205" s="389"/>
      <c r="AW205" s="389"/>
      <c r="AX205" s="389"/>
    </row>
    <row r="206" spans="1:50" x14ac:dyDescent="0.25">
      <c r="A206" s="387"/>
      <c r="B206" s="387"/>
      <c r="C206" s="387"/>
      <c r="D206" s="387"/>
      <c r="E206" s="387"/>
      <c r="F206" s="387"/>
      <c r="G206" s="387"/>
      <c r="H206" s="387"/>
      <c r="I206" s="387"/>
      <c r="J206" s="387"/>
      <c r="K206" s="387"/>
      <c r="L206" s="387"/>
      <c r="M206" s="387"/>
      <c r="N206" s="387"/>
      <c r="O206" s="387"/>
      <c r="P206" s="389"/>
      <c r="Q206" s="389"/>
      <c r="R206" s="389"/>
      <c r="S206" s="389"/>
      <c r="T206" s="389"/>
      <c r="U206" s="389"/>
      <c r="V206" s="389"/>
      <c r="W206" s="389"/>
      <c r="X206" s="389"/>
      <c r="Y206" s="389"/>
      <c r="Z206" s="389"/>
      <c r="AA206" s="389"/>
      <c r="AB206" s="389"/>
      <c r="AC206" s="389"/>
      <c r="AD206" s="389"/>
      <c r="AE206" s="389"/>
      <c r="AF206" s="389"/>
      <c r="AG206" s="389"/>
      <c r="AH206" s="389"/>
      <c r="AI206" s="389"/>
      <c r="AJ206" s="389"/>
      <c r="AK206" s="389"/>
      <c r="AL206" s="389"/>
      <c r="AM206" s="389"/>
      <c r="AN206" s="389"/>
      <c r="AO206" s="389"/>
      <c r="AP206" s="389"/>
      <c r="AQ206" s="389"/>
      <c r="AR206" s="389"/>
      <c r="AS206" s="389"/>
      <c r="AT206" s="389"/>
      <c r="AU206" s="389"/>
      <c r="AV206" s="389"/>
      <c r="AW206" s="389"/>
      <c r="AX206" s="389"/>
    </row>
    <row r="207" spans="1:50" x14ac:dyDescent="0.25">
      <c r="A207" s="387"/>
      <c r="B207" s="387"/>
      <c r="C207" s="387"/>
      <c r="D207" s="387"/>
      <c r="E207" s="387"/>
      <c r="F207" s="387"/>
      <c r="G207" s="387"/>
      <c r="H207" s="387"/>
      <c r="I207" s="387"/>
      <c r="J207" s="387"/>
      <c r="K207" s="387"/>
      <c r="L207" s="387"/>
      <c r="M207" s="387"/>
      <c r="N207" s="387"/>
      <c r="O207" s="387"/>
      <c r="P207" s="389"/>
      <c r="Q207" s="389"/>
      <c r="R207" s="389"/>
      <c r="S207" s="389"/>
      <c r="T207" s="389"/>
      <c r="U207" s="389"/>
      <c r="V207" s="389"/>
      <c r="W207" s="389"/>
      <c r="X207" s="389"/>
      <c r="Y207" s="389"/>
      <c r="Z207" s="389"/>
      <c r="AA207" s="389"/>
      <c r="AB207" s="389"/>
      <c r="AC207" s="389"/>
      <c r="AD207" s="389"/>
      <c r="AE207" s="389"/>
      <c r="AF207" s="389"/>
      <c r="AG207" s="389"/>
      <c r="AH207" s="389"/>
      <c r="AI207" s="389"/>
      <c r="AJ207" s="389"/>
      <c r="AK207" s="389"/>
      <c r="AL207" s="389"/>
      <c r="AM207" s="389"/>
      <c r="AN207" s="389"/>
      <c r="AO207" s="389"/>
      <c r="AP207" s="389"/>
      <c r="AQ207" s="389"/>
      <c r="AR207" s="389"/>
      <c r="AS207" s="389"/>
      <c r="AT207" s="389"/>
      <c r="AU207" s="389"/>
      <c r="AV207" s="389"/>
      <c r="AW207" s="389"/>
      <c r="AX207" s="389"/>
    </row>
    <row r="208" spans="1:50" x14ac:dyDescent="0.25">
      <c r="A208" s="387"/>
      <c r="B208" s="387"/>
      <c r="C208" s="387"/>
      <c r="D208" s="387"/>
      <c r="E208" s="387"/>
      <c r="F208" s="387"/>
      <c r="G208" s="387"/>
      <c r="H208" s="387"/>
      <c r="I208" s="387"/>
      <c r="J208" s="387"/>
      <c r="K208" s="387"/>
      <c r="L208" s="387"/>
      <c r="M208" s="387"/>
      <c r="N208" s="387"/>
      <c r="O208" s="387"/>
      <c r="P208" s="389"/>
      <c r="Q208" s="389"/>
      <c r="R208" s="389"/>
      <c r="S208" s="389"/>
      <c r="T208" s="389"/>
      <c r="U208" s="389"/>
      <c r="V208" s="389"/>
      <c r="W208" s="389"/>
      <c r="X208" s="389"/>
      <c r="Y208" s="389"/>
      <c r="Z208" s="389"/>
      <c r="AA208" s="389"/>
      <c r="AB208" s="389"/>
      <c r="AC208" s="389"/>
      <c r="AD208" s="389"/>
      <c r="AE208" s="389"/>
      <c r="AF208" s="389"/>
      <c r="AG208" s="389"/>
      <c r="AH208" s="389"/>
      <c r="AI208" s="389"/>
      <c r="AJ208" s="389"/>
      <c r="AK208" s="389"/>
      <c r="AL208" s="389"/>
      <c r="AM208" s="389"/>
      <c r="AN208" s="389"/>
      <c r="AO208" s="389"/>
      <c r="AP208" s="389"/>
      <c r="AQ208" s="389"/>
      <c r="AR208" s="389"/>
      <c r="AS208" s="389"/>
      <c r="AT208" s="389"/>
      <c r="AU208" s="389"/>
      <c r="AV208" s="389"/>
      <c r="AW208" s="389"/>
      <c r="AX208" s="389"/>
    </row>
    <row r="209" spans="1:50" x14ac:dyDescent="0.25">
      <c r="A209" s="387"/>
      <c r="B209" s="387"/>
      <c r="C209" s="387"/>
      <c r="D209" s="387"/>
      <c r="E209" s="387"/>
      <c r="F209" s="387"/>
      <c r="G209" s="387"/>
      <c r="H209" s="387"/>
      <c r="I209" s="387"/>
      <c r="J209" s="387"/>
      <c r="K209" s="387"/>
      <c r="L209" s="387"/>
      <c r="M209" s="387"/>
      <c r="N209" s="387"/>
      <c r="O209" s="387"/>
      <c r="P209" s="389"/>
      <c r="Q209" s="389"/>
      <c r="R209" s="389"/>
      <c r="S209" s="389"/>
      <c r="T209" s="389"/>
      <c r="U209" s="389"/>
      <c r="V209" s="389"/>
      <c r="W209" s="389"/>
      <c r="X209" s="389"/>
      <c r="Y209" s="389"/>
      <c r="Z209" s="389"/>
      <c r="AA209" s="389"/>
      <c r="AB209" s="389"/>
      <c r="AC209" s="389"/>
      <c r="AD209" s="389"/>
      <c r="AE209" s="389"/>
      <c r="AF209" s="389"/>
      <c r="AG209" s="389"/>
      <c r="AH209" s="389"/>
      <c r="AI209" s="389"/>
      <c r="AJ209" s="389"/>
      <c r="AK209" s="389"/>
      <c r="AL209" s="389"/>
      <c r="AM209" s="389"/>
      <c r="AN209" s="389"/>
      <c r="AO209" s="389"/>
      <c r="AP209" s="389"/>
      <c r="AQ209" s="389"/>
      <c r="AR209" s="389"/>
      <c r="AS209" s="389"/>
      <c r="AT209" s="389"/>
      <c r="AU209" s="389"/>
      <c r="AV209" s="389"/>
      <c r="AW209" s="389"/>
      <c r="AX209" s="389"/>
    </row>
    <row r="210" spans="1:50" x14ac:dyDescent="0.25">
      <c r="A210" s="387"/>
      <c r="B210" s="387"/>
      <c r="C210" s="387"/>
      <c r="D210" s="387"/>
      <c r="E210" s="387"/>
      <c r="F210" s="387"/>
      <c r="G210" s="387"/>
      <c r="H210" s="387"/>
      <c r="I210" s="387"/>
      <c r="J210" s="387"/>
      <c r="K210" s="387"/>
      <c r="L210" s="387"/>
      <c r="M210" s="387"/>
      <c r="N210" s="387"/>
      <c r="O210" s="387"/>
      <c r="P210" s="389"/>
      <c r="Q210" s="389"/>
      <c r="R210" s="389"/>
      <c r="S210" s="389"/>
      <c r="T210" s="389"/>
      <c r="U210" s="389"/>
      <c r="V210" s="389"/>
      <c r="W210" s="389"/>
      <c r="X210" s="389"/>
      <c r="Y210" s="389"/>
      <c r="Z210" s="389"/>
      <c r="AA210" s="389"/>
      <c r="AB210" s="389"/>
      <c r="AC210" s="389"/>
      <c r="AD210" s="389"/>
      <c r="AE210" s="389"/>
      <c r="AF210" s="389"/>
      <c r="AG210" s="389"/>
      <c r="AH210" s="389"/>
      <c r="AI210" s="389"/>
      <c r="AJ210" s="389"/>
      <c r="AK210" s="389"/>
      <c r="AL210" s="389"/>
      <c r="AM210" s="389"/>
      <c r="AN210" s="389"/>
      <c r="AO210" s="389"/>
      <c r="AP210" s="389"/>
      <c r="AQ210" s="389"/>
      <c r="AR210" s="389"/>
      <c r="AS210" s="389"/>
      <c r="AT210" s="389"/>
      <c r="AU210" s="389"/>
      <c r="AV210" s="389"/>
      <c r="AW210" s="389"/>
      <c r="AX210" s="389"/>
    </row>
    <row r="211" spans="1:50" x14ac:dyDescent="0.25">
      <c r="A211" s="387"/>
      <c r="B211" s="387"/>
      <c r="C211" s="387"/>
      <c r="D211" s="387"/>
      <c r="E211" s="387"/>
      <c r="F211" s="387"/>
      <c r="G211" s="387"/>
      <c r="H211" s="387"/>
      <c r="I211" s="387"/>
      <c r="J211" s="387"/>
      <c r="K211" s="387"/>
      <c r="L211" s="387"/>
      <c r="M211" s="387"/>
      <c r="N211" s="387"/>
      <c r="O211" s="387"/>
      <c r="P211" s="389"/>
      <c r="Q211" s="389"/>
      <c r="R211" s="389"/>
      <c r="S211" s="389"/>
      <c r="T211" s="389"/>
      <c r="U211" s="389"/>
      <c r="V211" s="389"/>
      <c r="W211" s="389"/>
      <c r="X211" s="389"/>
      <c r="Y211" s="389"/>
      <c r="Z211" s="389"/>
      <c r="AA211" s="389"/>
      <c r="AB211" s="389"/>
      <c r="AC211" s="389"/>
      <c r="AD211" s="389"/>
      <c r="AE211" s="389"/>
      <c r="AF211" s="389"/>
      <c r="AG211" s="389"/>
      <c r="AH211" s="389"/>
      <c r="AI211" s="389"/>
      <c r="AJ211" s="389"/>
      <c r="AK211" s="389"/>
      <c r="AL211" s="389"/>
      <c r="AM211" s="389"/>
      <c r="AN211" s="389"/>
      <c r="AO211" s="389"/>
      <c r="AP211" s="389"/>
      <c r="AQ211" s="389"/>
      <c r="AR211" s="389"/>
      <c r="AS211" s="389"/>
      <c r="AT211" s="389"/>
      <c r="AU211" s="389"/>
      <c r="AV211" s="389"/>
      <c r="AW211" s="389"/>
      <c r="AX211" s="389"/>
    </row>
    <row r="212" spans="1:50" x14ac:dyDescent="0.25">
      <c r="A212" s="387"/>
      <c r="B212" s="387"/>
      <c r="C212" s="387"/>
      <c r="D212" s="387"/>
      <c r="E212" s="387"/>
      <c r="F212" s="387"/>
      <c r="G212" s="387"/>
      <c r="H212" s="387"/>
      <c r="I212" s="387"/>
      <c r="J212" s="387"/>
      <c r="K212" s="387"/>
      <c r="L212" s="387"/>
      <c r="M212" s="387"/>
      <c r="N212" s="387"/>
      <c r="O212" s="387"/>
      <c r="P212" s="389"/>
      <c r="Q212" s="389"/>
      <c r="R212" s="389"/>
      <c r="S212" s="389"/>
      <c r="T212" s="389"/>
      <c r="U212" s="389"/>
      <c r="V212" s="389"/>
      <c r="W212" s="389"/>
      <c r="X212" s="389"/>
      <c r="Y212" s="389"/>
      <c r="Z212" s="389"/>
      <c r="AA212" s="389"/>
      <c r="AB212" s="389"/>
      <c r="AC212" s="389"/>
      <c r="AD212" s="389"/>
      <c r="AE212" s="389"/>
      <c r="AF212" s="389"/>
      <c r="AG212" s="389"/>
      <c r="AH212" s="389"/>
      <c r="AI212" s="389"/>
      <c r="AJ212" s="389"/>
      <c r="AK212" s="389"/>
      <c r="AL212" s="389"/>
      <c r="AM212" s="389"/>
      <c r="AN212" s="389"/>
      <c r="AO212" s="389"/>
      <c r="AP212" s="389"/>
      <c r="AQ212" s="389"/>
      <c r="AR212" s="389"/>
      <c r="AS212" s="389"/>
      <c r="AT212" s="389"/>
      <c r="AU212" s="389"/>
      <c r="AV212" s="389"/>
      <c r="AW212" s="389"/>
      <c r="AX212" s="389"/>
    </row>
    <row r="213" spans="1:50" x14ac:dyDescent="0.25">
      <c r="A213" s="387"/>
      <c r="B213" s="387"/>
      <c r="C213" s="387"/>
      <c r="D213" s="387"/>
      <c r="E213" s="387"/>
      <c r="F213" s="387"/>
      <c r="G213" s="387"/>
      <c r="H213" s="387"/>
      <c r="I213" s="387"/>
      <c r="J213" s="387"/>
      <c r="K213" s="387"/>
      <c r="L213" s="387"/>
      <c r="M213" s="387"/>
      <c r="N213" s="387"/>
      <c r="O213" s="387"/>
      <c r="P213" s="389"/>
      <c r="Q213" s="389"/>
      <c r="R213" s="389"/>
      <c r="S213" s="389"/>
      <c r="T213" s="389"/>
      <c r="U213" s="389"/>
      <c r="V213" s="389"/>
      <c r="W213" s="389"/>
      <c r="X213" s="389"/>
      <c r="Y213" s="389"/>
      <c r="Z213" s="389"/>
      <c r="AA213" s="389"/>
      <c r="AB213" s="389"/>
      <c r="AC213" s="389"/>
      <c r="AD213" s="389"/>
      <c r="AE213" s="389"/>
      <c r="AF213" s="389"/>
      <c r="AG213" s="389"/>
      <c r="AH213" s="389"/>
      <c r="AI213" s="389"/>
      <c r="AJ213" s="389"/>
      <c r="AK213" s="389"/>
      <c r="AL213" s="389"/>
      <c r="AM213" s="389"/>
      <c r="AN213" s="389"/>
      <c r="AO213" s="389"/>
      <c r="AP213" s="389"/>
      <c r="AQ213" s="389"/>
      <c r="AR213" s="389"/>
      <c r="AS213" s="389"/>
      <c r="AT213" s="389"/>
      <c r="AU213" s="389"/>
      <c r="AV213" s="389"/>
      <c r="AW213" s="389"/>
      <c r="AX213" s="389"/>
    </row>
    <row r="214" spans="1:50" x14ac:dyDescent="0.25">
      <c r="A214" s="387"/>
      <c r="B214" s="387"/>
      <c r="C214" s="387"/>
      <c r="D214" s="387"/>
      <c r="E214" s="387"/>
      <c r="F214" s="387"/>
      <c r="G214" s="387"/>
      <c r="H214" s="387"/>
      <c r="I214" s="387"/>
      <c r="J214" s="387"/>
      <c r="K214" s="387"/>
      <c r="L214" s="387"/>
      <c r="M214" s="387"/>
      <c r="N214" s="387"/>
      <c r="O214" s="387"/>
      <c r="P214" s="389"/>
      <c r="Q214" s="389"/>
      <c r="R214" s="389"/>
      <c r="S214" s="389"/>
      <c r="T214" s="389"/>
      <c r="U214" s="389"/>
      <c r="V214" s="389"/>
      <c r="W214" s="389"/>
      <c r="X214" s="389"/>
      <c r="Y214" s="389"/>
      <c r="Z214" s="389"/>
      <c r="AA214" s="389"/>
      <c r="AB214" s="389"/>
      <c r="AC214" s="389"/>
      <c r="AD214" s="389"/>
      <c r="AE214" s="389"/>
      <c r="AF214" s="389"/>
      <c r="AG214" s="389"/>
      <c r="AH214" s="389"/>
      <c r="AI214" s="389"/>
      <c r="AJ214" s="389"/>
      <c r="AK214" s="389"/>
      <c r="AL214" s="389"/>
      <c r="AM214" s="389"/>
      <c r="AN214" s="389"/>
      <c r="AO214" s="389"/>
      <c r="AP214" s="389"/>
      <c r="AQ214" s="389"/>
      <c r="AR214" s="389"/>
      <c r="AS214" s="389"/>
      <c r="AT214" s="389"/>
      <c r="AU214" s="389"/>
      <c r="AV214" s="389"/>
      <c r="AW214" s="389"/>
      <c r="AX214" s="389"/>
    </row>
    <row r="215" spans="1:50" x14ac:dyDescent="0.25">
      <c r="A215" s="387"/>
      <c r="B215" s="387"/>
      <c r="C215" s="387"/>
      <c r="D215" s="387"/>
      <c r="E215" s="387"/>
      <c r="F215" s="387"/>
      <c r="G215" s="387"/>
      <c r="H215" s="387"/>
      <c r="I215" s="387"/>
      <c r="J215" s="387"/>
      <c r="K215" s="387"/>
      <c r="L215" s="387"/>
      <c r="M215" s="387"/>
      <c r="N215" s="387"/>
      <c r="O215" s="387"/>
      <c r="P215" s="389"/>
      <c r="Q215" s="389"/>
      <c r="R215" s="389"/>
      <c r="S215" s="389"/>
      <c r="T215" s="389"/>
      <c r="U215" s="389"/>
      <c r="V215" s="389"/>
      <c r="W215" s="389"/>
      <c r="X215" s="389"/>
      <c r="Y215" s="389"/>
      <c r="Z215" s="389"/>
      <c r="AA215" s="389"/>
      <c r="AB215" s="389"/>
      <c r="AC215" s="389"/>
      <c r="AD215" s="389"/>
      <c r="AE215" s="389"/>
      <c r="AF215" s="389"/>
      <c r="AG215" s="389"/>
      <c r="AH215" s="389"/>
      <c r="AI215" s="389"/>
      <c r="AJ215" s="389"/>
      <c r="AK215" s="389"/>
      <c r="AL215" s="389"/>
      <c r="AM215" s="389"/>
      <c r="AN215" s="389"/>
      <c r="AO215" s="389"/>
      <c r="AP215" s="389"/>
      <c r="AQ215" s="389"/>
      <c r="AR215" s="389"/>
      <c r="AS215" s="389"/>
      <c r="AT215" s="389"/>
      <c r="AU215" s="389"/>
      <c r="AV215" s="389"/>
      <c r="AW215" s="389"/>
      <c r="AX215" s="389"/>
    </row>
    <row r="216" spans="1:50" x14ac:dyDescent="0.25">
      <c r="A216" s="387"/>
      <c r="B216" s="387"/>
      <c r="C216" s="387"/>
      <c r="D216" s="387"/>
      <c r="E216" s="387"/>
      <c r="F216" s="387"/>
      <c r="G216" s="387"/>
      <c r="H216" s="387"/>
      <c r="I216" s="387"/>
      <c r="J216" s="387"/>
      <c r="K216" s="387"/>
      <c r="L216" s="387"/>
      <c r="M216" s="387"/>
      <c r="N216" s="387"/>
      <c r="O216" s="387"/>
      <c r="P216" s="389"/>
      <c r="Q216" s="389"/>
      <c r="R216" s="389"/>
      <c r="S216" s="389"/>
      <c r="T216" s="389"/>
      <c r="U216" s="389"/>
      <c r="V216" s="389"/>
      <c r="W216" s="389"/>
      <c r="X216" s="389"/>
      <c r="Y216" s="389"/>
      <c r="Z216" s="389"/>
      <c r="AA216" s="389"/>
      <c r="AB216" s="389"/>
      <c r="AC216" s="389"/>
      <c r="AD216" s="389"/>
      <c r="AE216" s="389"/>
      <c r="AF216" s="389"/>
      <c r="AG216" s="389"/>
      <c r="AH216" s="389"/>
      <c r="AI216" s="389"/>
      <c r="AJ216" s="389"/>
      <c r="AK216" s="389"/>
      <c r="AL216" s="389"/>
      <c r="AM216" s="389"/>
      <c r="AN216" s="389"/>
      <c r="AO216" s="389"/>
      <c r="AP216" s="389"/>
      <c r="AQ216" s="389"/>
      <c r="AR216" s="389"/>
      <c r="AS216" s="389"/>
      <c r="AT216" s="389"/>
      <c r="AU216" s="389"/>
      <c r="AV216" s="389"/>
      <c r="AW216" s="389"/>
      <c r="AX216" s="389"/>
    </row>
    <row r="217" spans="1:50" x14ac:dyDescent="0.25">
      <c r="A217" s="387"/>
      <c r="B217" s="387"/>
      <c r="C217" s="387"/>
      <c r="D217" s="387"/>
      <c r="E217" s="387"/>
      <c r="F217" s="387"/>
      <c r="G217" s="387"/>
      <c r="H217" s="387"/>
      <c r="I217" s="387"/>
      <c r="J217" s="387"/>
      <c r="K217" s="387"/>
      <c r="L217" s="387"/>
      <c r="M217" s="387"/>
      <c r="N217" s="387"/>
      <c r="O217" s="387"/>
      <c r="P217" s="389"/>
      <c r="Q217" s="389"/>
      <c r="R217" s="389"/>
      <c r="S217" s="389"/>
      <c r="T217" s="389"/>
      <c r="U217" s="389"/>
      <c r="V217" s="389"/>
      <c r="W217" s="389"/>
      <c r="X217" s="389"/>
      <c r="Y217" s="389"/>
      <c r="Z217" s="389"/>
      <c r="AA217" s="389"/>
      <c r="AB217" s="389"/>
      <c r="AC217" s="389"/>
      <c r="AD217" s="389"/>
      <c r="AE217" s="389"/>
      <c r="AF217" s="389"/>
      <c r="AG217" s="389"/>
      <c r="AH217" s="389"/>
      <c r="AI217" s="389"/>
      <c r="AJ217" s="389"/>
      <c r="AK217" s="389"/>
      <c r="AL217" s="389"/>
      <c r="AM217" s="389"/>
      <c r="AN217" s="389"/>
      <c r="AO217" s="389"/>
      <c r="AP217" s="389"/>
      <c r="AQ217" s="389"/>
      <c r="AR217" s="389"/>
      <c r="AS217" s="389"/>
      <c r="AT217" s="389"/>
      <c r="AU217" s="389"/>
      <c r="AV217" s="389"/>
      <c r="AW217" s="389"/>
      <c r="AX217" s="389"/>
    </row>
    <row r="218" spans="1:50" x14ac:dyDescent="0.25">
      <c r="A218" s="387"/>
      <c r="B218" s="387"/>
      <c r="C218" s="387"/>
      <c r="D218" s="387"/>
      <c r="E218" s="387"/>
      <c r="F218" s="387"/>
      <c r="G218" s="387"/>
      <c r="H218" s="387"/>
      <c r="I218" s="387"/>
      <c r="J218" s="387"/>
      <c r="K218" s="387"/>
      <c r="L218" s="387"/>
      <c r="M218" s="387"/>
      <c r="N218" s="387"/>
      <c r="O218" s="387"/>
      <c r="P218" s="389"/>
      <c r="Q218" s="389"/>
      <c r="R218" s="389"/>
      <c r="S218" s="389"/>
      <c r="T218" s="389"/>
      <c r="U218" s="389"/>
      <c r="V218" s="389"/>
      <c r="W218" s="389"/>
      <c r="X218" s="389"/>
      <c r="Y218" s="389"/>
      <c r="Z218" s="389"/>
      <c r="AA218" s="389"/>
      <c r="AB218" s="389"/>
      <c r="AC218" s="389"/>
      <c r="AD218" s="389"/>
      <c r="AE218" s="389"/>
      <c r="AF218" s="389"/>
      <c r="AG218" s="389"/>
      <c r="AH218" s="389"/>
      <c r="AI218" s="389"/>
      <c r="AJ218" s="389"/>
      <c r="AK218" s="389"/>
      <c r="AL218" s="389"/>
      <c r="AM218" s="389"/>
      <c r="AN218" s="389"/>
      <c r="AO218" s="389"/>
      <c r="AP218" s="389"/>
      <c r="AQ218" s="389"/>
      <c r="AR218" s="389"/>
      <c r="AS218" s="389"/>
      <c r="AT218" s="389"/>
      <c r="AU218" s="389"/>
      <c r="AV218" s="389"/>
      <c r="AW218" s="389"/>
      <c r="AX218" s="389"/>
    </row>
    <row r="219" spans="1:50" x14ac:dyDescent="0.25">
      <c r="A219" s="387"/>
      <c r="B219" s="387"/>
      <c r="C219" s="387"/>
      <c r="D219" s="387"/>
      <c r="E219" s="387"/>
      <c r="F219" s="387"/>
      <c r="G219" s="387"/>
      <c r="H219" s="387"/>
      <c r="I219" s="387"/>
      <c r="J219" s="387"/>
      <c r="K219" s="387"/>
      <c r="L219" s="387"/>
      <c r="M219" s="387"/>
      <c r="N219" s="387"/>
      <c r="O219" s="387"/>
      <c r="P219" s="389"/>
      <c r="Q219" s="389"/>
      <c r="R219" s="389"/>
      <c r="S219" s="389"/>
      <c r="T219" s="389"/>
      <c r="U219" s="389"/>
      <c r="V219" s="389"/>
      <c r="W219" s="389"/>
      <c r="X219" s="389"/>
      <c r="Y219" s="389"/>
      <c r="Z219" s="389"/>
      <c r="AA219" s="389"/>
      <c r="AB219" s="389"/>
      <c r="AC219" s="389"/>
      <c r="AD219" s="389"/>
      <c r="AE219" s="389"/>
      <c r="AF219" s="389"/>
      <c r="AG219" s="389"/>
      <c r="AH219" s="389"/>
      <c r="AI219" s="389"/>
      <c r="AJ219" s="389"/>
      <c r="AK219" s="389"/>
      <c r="AL219" s="389"/>
      <c r="AM219" s="389"/>
      <c r="AN219" s="389"/>
      <c r="AO219" s="389"/>
      <c r="AP219" s="389"/>
      <c r="AQ219" s="389"/>
      <c r="AR219" s="389"/>
      <c r="AS219" s="389"/>
      <c r="AT219" s="389"/>
      <c r="AU219" s="389"/>
      <c r="AV219" s="389"/>
      <c r="AW219" s="389"/>
      <c r="AX219" s="389"/>
    </row>
    <row r="220" spans="1:50" x14ac:dyDescent="0.25">
      <c r="A220" s="387"/>
      <c r="B220" s="387"/>
      <c r="C220" s="387"/>
      <c r="D220" s="387"/>
      <c r="E220" s="387"/>
      <c r="F220" s="387"/>
      <c r="G220" s="387"/>
      <c r="H220" s="387"/>
      <c r="I220" s="387"/>
      <c r="J220" s="387"/>
      <c r="K220" s="387"/>
      <c r="L220" s="387"/>
      <c r="M220" s="387"/>
      <c r="N220" s="387"/>
      <c r="O220" s="387"/>
      <c r="P220" s="389"/>
      <c r="Q220" s="389"/>
      <c r="R220" s="389"/>
      <c r="S220" s="389"/>
      <c r="T220" s="389"/>
      <c r="U220" s="389"/>
      <c r="V220" s="389"/>
      <c r="W220" s="389"/>
      <c r="X220" s="389"/>
      <c r="Y220" s="389"/>
      <c r="Z220" s="389"/>
      <c r="AA220" s="389"/>
      <c r="AB220" s="389"/>
      <c r="AC220" s="389"/>
      <c r="AD220" s="389"/>
      <c r="AE220" s="389"/>
      <c r="AF220" s="389"/>
      <c r="AG220" s="389"/>
      <c r="AH220" s="389"/>
      <c r="AI220" s="389"/>
      <c r="AJ220" s="389"/>
      <c r="AK220" s="389"/>
      <c r="AL220" s="389"/>
      <c r="AM220" s="389"/>
      <c r="AN220" s="389"/>
      <c r="AO220" s="389"/>
      <c r="AP220" s="389"/>
      <c r="AQ220" s="389"/>
      <c r="AR220" s="389"/>
      <c r="AS220" s="389"/>
      <c r="AT220" s="389"/>
      <c r="AU220" s="389"/>
      <c r="AV220" s="389"/>
      <c r="AW220" s="389"/>
      <c r="AX220" s="389"/>
    </row>
  </sheetData>
  <pageMargins left="0.7" right="0.7" top="0.75" bottom="0.75" header="0.3" footer="0.3"/>
  <pageSetup orientation="landscape" r:id="rId1"/>
  <headerFooter>
    <oddHeader>&amp;C&amp;F-&amp;A-&amp;P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AP25"/>
  <sheetViews>
    <sheetView topLeftCell="A7" zoomScaleNormal="100" workbookViewId="0">
      <selection activeCell="C25" sqref="C25"/>
    </sheetView>
  </sheetViews>
  <sheetFormatPr baseColWidth="10" defaultRowHeight="15" x14ac:dyDescent="0.25"/>
  <cols>
    <col min="4" max="4" width="39.7109375" bestFit="1" customWidth="1"/>
    <col min="5" max="5" width="18.85546875" bestFit="1" customWidth="1"/>
    <col min="6" max="6" width="20.28515625" bestFit="1" customWidth="1"/>
    <col min="7" max="13" width="19.5703125" bestFit="1" customWidth="1"/>
    <col min="14" max="21" width="20.28515625" bestFit="1" customWidth="1"/>
    <col min="22" max="42" width="19.5703125" bestFit="1" customWidth="1"/>
  </cols>
  <sheetData>
    <row r="10" spans="2:42" x14ac:dyDescent="0.25">
      <c r="B10" s="430" t="s">
        <v>435</v>
      </c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</row>
    <row r="13" spans="2:42" x14ac:dyDescent="0.25">
      <c r="C13" t="s">
        <v>436</v>
      </c>
    </row>
    <row r="15" spans="2:42" x14ac:dyDescent="0.25">
      <c r="C15" t="s">
        <v>437</v>
      </c>
      <c r="D15" t="s">
        <v>130</v>
      </c>
      <c r="E15" t="s">
        <v>440</v>
      </c>
      <c r="F15" t="s">
        <v>441</v>
      </c>
      <c r="G15" t="s">
        <v>442</v>
      </c>
      <c r="H15" t="s">
        <v>443</v>
      </c>
      <c r="I15" t="s">
        <v>444</v>
      </c>
      <c r="J15" t="s">
        <v>445</v>
      </c>
      <c r="K15" t="s">
        <v>446</v>
      </c>
      <c r="L15" t="s">
        <v>447</v>
      </c>
      <c r="M15" t="s">
        <v>448</v>
      </c>
      <c r="N15" t="s">
        <v>449</v>
      </c>
      <c r="O15" t="s">
        <v>450</v>
      </c>
      <c r="P15" t="s">
        <v>451</v>
      </c>
      <c r="Q15" t="s">
        <v>452</v>
      </c>
      <c r="R15" t="s">
        <v>453</v>
      </c>
      <c r="S15" t="s">
        <v>454</v>
      </c>
      <c r="T15" t="s">
        <v>455</v>
      </c>
      <c r="U15" t="s">
        <v>456</v>
      </c>
      <c r="V15" t="s">
        <v>457</v>
      </c>
      <c r="W15" t="s">
        <v>458</v>
      </c>
      <c r="X15" t="s">
        <v>459</v>
      </c>
      <c r="Y15" t="s">
        <v>460</v>
      </c>
      <c r="Z15" t="s">
        <v>461</v>
      </c>
      <c r="AA15" t="s">
        <v>462</v>
      </c>
      <c r="AB15" t="s">
        <v>463</v>
      </c>
      <c r="AC15" t="s">
        <v>464</v>
      </c>
      <c r="AD15" t="s">
        <v>465</v>
      </c>
      <c r="AE15" t="s">
        <v>466</v>
      </c>
      <c r="AF15" t="s">
        <v>467</v>
      </c>
      <c r="AG15" t="s">
        <v>468</v>
      </c>
      <c r="AH15" t="s">
        <v>469</v>
      </c>
      <c r="AI15" t="s">
        <v>470</v>
      </c>
      <c r="AJ15" t="s">
        <v>471</v>
      </c>
      <c r="AK15" t="s">
        <v>472</v>
      </c>
      <c r="AL15" t="s">
        <v>473</v>
      </c>
      <c r="AM15" t="s">
        <v>474</v>
      </c>
      <c r="AN15" t="s">
        <v>475</v>
      </c>
      <c r="AO15" t="s">
        <v>476</v>
      </c>
      <c r="AP15" t="s">
        <v>477</v>
      </c>
    </row>
    <row r="16" spans="2:42" x14ac:dyDescent="0.25">
      <c r="B16" t="s">
        <v>479</v>
      </c>
      <c r="C16" t="s">
        <v>438</v>
      </c>
      <c r="D16" t="s">
        <v>439</v>
      </c>
      <c r="E16" s="234">
        <v>104109690000</v>
      </c>
      <c r="F16" s="376">
        <f>FV(ACTUALMENTE!M28,2,,E16)*-1</f>
        <v>99613127723.487137</v>
      </c>
      <c r="G16" s="376">
        <f>FV(ACTUALMENTE!N28,2,,F16)*-1</f>
        <v>108512840409.70273</v>
      </c>
      <c r="H16" s="376">
        <f>FV(ACTUALMENTE!O28,2,,G16)*-1</f>
        <v>120091837654.04872</v>
      </c>
      <c r="I16" s="376">
        <f>FV(ACTUALMENTE!P28,2,,H16)*-1</f>
        <v>127405430567.18028</v>
      </c>
      <c r="J16" s="376">
        <f>FV(ACTUALMENTE!Q28,2,,I16)*-1</f>
        <v>135164421288.72156</v>
      </c>
      <c r="K16" s="376">
        <f>FV(ACTUALMENTE!R28,2,,J16)*-1</f>
        <v>143395934545.20468</v>
      </c>
      <c r="L16" s="376">
        <f>FV(ACTUALMENTE!S28,2,,K16)*-1</f>
        <v>152128746959.00763</v>
      </c>
      <c r="M16" s="376">
        <f>FV(ACTUALMENTE!T28,2,,L16)*-1</f>
        <v>161393387648.81119</v>
      </c>
      <c r="N16" s="376">
        <f>FV(ACTUALMENTE!U28,2,,M16)*-1</f>
        <v>171222244956.62378</v>
      </c>
      <c r="O16" s="376">
        <f>FV(ACTUALMENTE!V28,2,,N16)*-1</f>
        <v>181649679674.48215</v>
      </c>
      <c r="P16" s="376">
        <f>FV(ACTUALMENTE!W28,2,,O16)*-1</f>
        <v>192712145166.65811</v>
      </c>
      <c r="Q16" s="376">
        <f>FV(ACTUALMENTE!X28,2,,P16)*-1</f>
        <v>204448314807.30759</v>
      </c>
      <c r="R16" s="376">
        <f>FV(ACTUALMENTE!Y28,2,,Q16)*-1</f>
        <v>216899217179.0726</v>
      </c>
      <c r="S16" s="376">
        <f>FV(ACTUALMENTE!Z28,2,,R16)*-1</f>
        <v>230108379505.27811</v>
      </c>
      <c r="T16" s="376">
        <f>FV(ACTUALMENTE!AA28,2,,S16)*-1</f>
        <v>244121979817.14954</v>
      </c>
      <c r="U16" s="376">
        <f>FV(ACTUALMENTE!AB28,2,,T16)*-1</f>
        <v>258989008388.01395</v>
      </c>
      <c r="V16" s="376">
        <f>FV(ACTUALMENTE!AC28,2,,U16)*-1</f>
        <v>274761438998.84399</v>
      </c>
      <c r="W16" s="376">
        <f>FV(ACTUALMENTE!AD28,2,,V16)*-1</f>
        <v>291494410633.8736</v>
      </c>
      <c r="X16" s="376">
        <f>FV(ACTUALMENTE!AE28,2,,W16)*-1</f>
        <v>309246420241.4765</v>
      </c>
      <c r="Y16" s="376">
        <f>FV(ACTUALMENTE!AF28,2,,X16)*-1</f>
        <v>328079527234.18243</v>
      </c>
      <c r="Z16" s="376">
        <f>FV(ACTUALMENTE!AG28,2,,Y16)*-1</f>
        <v>348059570442.74414</v>
      </c>
      <c r="AA16" s="376">
        <f>FV(ACTUALMENTE!AH28,2,,Z16)*-1</f>
        <v>369256398282.70721</v>
      </c>
      <c r="AB16" s="376">
        <f>FV(ACTUALMENTE!AI28,2,,AA16)*-1</f>
        <v>391744112938.12408</v>
      </c>
      <c r="AC16" s="376">
        <f>FV(ACTUALMENTE!AJ28,2,,AB16)*-1</f>
        <v>415601329416.05585</v>
      </c>
      <c r="AD16" s="376">
        <f>FV(ACTUALMENTE!AK28,2,,AC16)*-1</f>
        <v>440911450377.49365</v>
      </c>
      <c r="AE16" s="376">
        <f>FV(ACTUALMENTE!AL28,2,,AD16)*-1</f>
        <v>467762957705.48297</v>
      </c>
      <c r="AF16" s="376">
        <f>FV(ACTUALMENTE!AM28,2,,AE16)*-1</f>
        <v>496249721829.74689</v>
      </c>
      <c r="AG16" s="376">
        <f>FV(ACTUALMENTE!AN28,2,,AF16)*-1</f>
        <v>526471329889.17847</v>
      </c>
      <c r="AH16" s="376">
        <f>FV(ACTUALMENTE!AO28,2,,AG16)*-1</f>
        <v>558533433879.42944</v>
      </c>
      <c r="AI16" s="376">
        <f>FV(ACTUALMENTE!AP28,2,,AH16)*-1</f>
        <v>592548120002.68665</v>
      </c>
      <c r="AJ16" s="376">
        <f>FV(ACTUALMENTE!AQ28,2,,AI16)*-1</f>
        <v>628634300510.85022</v>
      </c>
      <c r="AK16" s="376">
        <f>FV(ACTUALMENTE!AR28,2,,AJ16)*-1</f>
        <v>666918129411.96094</v>
      </c>
      <c r="AL16" s="376">
        <f>FV(ACTUALMENTE!AS28,2,,AK16)*-1</f>
        <v>707533443493.14929</v>
      </c>
      <c r="AM16" s="376">
        <f>FV(ACTUALMENTE!AT28,2,,AL16)*-1</f>
        <v>750622230201.88208</v>
      </c>
      <c r="AN16" s="376">
        <f>FV(ACTUALMENTE!AU28,2,,AM16)*-1</f>
        <v>796335124021.17664</v>
      </c>
      <c r="AO16" s="376">
        <f>FV(ACTUALMENTE!AV28,2,,AN16)*-1</f>
        <v>844831933074.06628</v>
      </c>
      <c r="AP16" s="376">
        <f>FV(ACTUALMENTE!AW28,2,,AO16)*-1</f>
        <v>896282197798.27686</v>
      </c>
    </row>
    <row r="19" spans="2:21" x14ac:dyDescent="0.25">
      <c r="B19" s="452" t="s">
        <v>607</v>
      </c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452"/>
      <c r="Q19" s="452"/>
      <c r="R19" s="452"/>
      <c r="S19" s="452"/>
      <c r="T19" s="452"/>
      <c r="U19" s="452"/>
    </row>
    <row r="21" spans="2:21" x14ac:dyDescent="0.25">
      <c r="C21" t="s">
        <v>480</v>
      </c>
    </row>
    <row r="23" spans="2:21" x14ac:dyDescent="0.25">
      <c r="D23" t="s">
        <v>130</v>
      </c>
      <c r="E23" s="453" t="s">
        <v>608</v>
      </c>
      <c r="F23" t="s">
        <v>481</v>
      </c>
      <c r="G23" t="s">
        <v>482</v>
      </c>
      <c r="H23" t="s">
        <v>483</v>
      </c>
      <c r="I23" t="s">
        <v>484</v>
      </c>
      <c r="J23" t="s">
        <v>485</v>
      </c>
      <c r="K23" t="s">
        <v>486</v>
      </c>
      <c r="L23" t="s">
        <v>487</v>
      </c>
      <c r="M23" t="s">
        <v>488</v>
      </c>
      <c r="N23" t="s">
        <v>489</v>
      </c>
      <c r="O23" t="s">
        <v>490</v>
      </c>
      <c r="P23" t="s">
        <v>491</v>
      </c>
      <c r="Q23" t="s">
        <v>492</v>
      </c>
      <c r="R23" t="s">
        <v>440</v>
      </c>
      <c r="S23" t="s">
        <v>441</v>
      </c>
      <c r="T23" t="s">
        <v>493</v>
      </c>
      <c r="U23" t="s">
        <v>443</v>
      </c>
    </row>
    <row r="24" spans="2:21" x14ac:dyDescent="0.25">
      <c r="B24" t="s">
        <v>478</v>
      </c>
      <c r="C24" t="s">
        <v>510</v>
      </c>
      <c r="D24" t="s">
        <v>582</v>
      </c>
      <c r="E24" s="375">
        <v>17474600</v>
      </c>
      <c r="F24" s="377">
        <v>1.8</v>
      </c>
      <c r="G24" s="402">
        <f>F24*E24</f>
        <v>31454280</v>
      </c>
      <c r="H24" s="376">
        <f>FV(IPP!G16,1,,VRN!G24)*-1</f>
        <v>35701550.476390183</v>
      </c>
      <c r="I24" s="376">
        <f>FV(IPP!H16,1,,VRN!H24)*-1</f>
        <v>40238157.270558447</v>
      </c>
      <c r="J24" s="376">
        <f>FV(IPP!I16,1,,VRN!I24)*-1</f>
        <v>44679563.082748115</v>
      </c>
      <c r="K24" s="376">
        <f>FV(IPP!J16,1,,VRN!J24)*-1</f>
        <v>47776519.471662275</v>
      </c>
      <c r="L24" s="376">
        <f>FV(IPP!K16,1,,VRN!K24)*-1</f>
        <v>52210396.317303315</v>
      </c>
      <c r="M24" s="376">
        <f>FV(IPP!L16,1,,VRN!L24)*-1</f>
        <v>55198773.808470652</v>
      </c>
      <c r="N24" s="376">
        <f>FV(IPP!M16,1,,VRN!M24)*-1</f>
        <v>57760240.229471229</v>
      </c>
      <c r="O24" s="376">
        <f>FV(IPP!N16,1,,VRN!N24)*-1</f>
        <v>58954794.773278467</v>
      </c>
      <c r="P24" s="376">
        <f>FV(IPP!O16,1,,VRN!O24)*-1</f>
        <v>62221681.803881221</v>
      </c>
      <c r="Q24" s="376">
        <f>FV(IPP!P16,1,,VRN!P24)*-1</f>
        <v>63013032.188720301</v>
      </c>
      <c r="R24" s="376">
        <f>FV(IPP!Q16,1,,VRN!Q24)*-1</f>
        <v>68681597.325473279</v>
      </c>
      <c r="S24" s="376">
        <f>FV(IPP!R16,1,,VRN!R24)*-1</f>
        <v>67182026.302150309</v>
      </c>
      <c r="T24" s="376">
        <f>FV(IPP!S16,1,,VRN!S24)*-1</f>
        <v>70118945.484757975</v>
      </c>
      <c r="U24" s="376">
        <f>FV(IPP!T16,1,,VRN!T24)*-1</f>
        <v>73765205.317402229</v>
      </c>
    </row>
    <row r="25" spans="2:21" x14ac:dyDescent="0.25">
      <c r="C25" s="453" t="s">
        <v>583</v>
      </c>
      <c r="G25" s="1">
        <f>G24*TRM!F9</f>
        <v>35891849822.399994</v>
      </c>
      <c r="H25" s="1">
        <f>H24*TRM!G9</f>
        <v>50947540591.827843</v>
      </c>
      <c r="I25" s="1">
        <f>I24*TRM!H9</f>
        <v>70762018612.858673</v>
      </c>
      <c r="J25" s="1">
        <f>J24*TRM!I9</f>
        <v>93265013570.190079</v>
      </c>
      <c r="K25" s="1">
        <f>K24*TRM!J9</f>
        <v>109875006185.34476</v>
      </c>
      <c r="L25" s="1">
        <f>L24*TRM!K9</f>
        <v>130941585547.94403</v>
      </c>
      <c r="M25" s="1">
        <f>M24*TRM!L9</f>
        <v>158834471633.8743</v>
      </c>
      <c r="N25" s="1">
        <f>N24*TRM!M9</f>
        <v>151691098095.44193</v>
      </c>
      <c r="O25" s="1">
        <f>O24*TRM!N9</f>
        <v>136820519065.98146</v>
      </c>
      <c r="P25" s="1">
        <f>P24*TRM!O9</f>
        <v>146717481259.91583</v>
      </c>
      <c r="Q25" s="1">
        <f>Q24*TRM!P9</f>
        <v>130963135449.42683</v>
      </c>
      <c r="R25" s="1">
        <f>R24*TRM!Q9</f>
        <v>135045877557.18509</v>
      </c>
      <c r="S25" s="1">
        <f>S24*TRM!R9</f>
        <v>144863931495.06369</v>
      </c>
      <c r="T25" s="1">
        <f>T24*TRM!S9</f>
        <v>133078045446.06732</v>
      </c>
      <c r="U25" s="1">
        <f>U24*TRM!T9</f>
        <v>136330639511.46329</v>
      </c>
    </row>
  </sheetData>
  <mergeCells count="1">
    <mergeCell ref="B19:U19"/>
  </mergeCells>
  <pageMargins left="0.7" right="0.7" top="0.75" bottom="0.75" header="0.3" footer="0.3"/>
  <pageSetup orientation="landscape" r:id="rId1"/>
  <headerFooter>
    <oddHeader>&amp;C&amp;F-&amp;A-&amp;P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Z106"/>
  <sheetViews>
    <sheetView view="pageBreakPreview" zoomScaleNormal="50" zoomScaleSheetLayoutView="100" workbookViewId="0">
      <pane ySplit="1" topLeftCell="A2" activePane="bottomLeft" state="frozen"/>
      <selection pane="bottomLeft" activeCell="A106" sqref="A106:XFD106"/>
    </sheetView>
  </sheetViews>
  <sheetFormatPr baseColWidth="10" defaultRowHeight="15" x14ac:dyDescent="0.25"/>
  <cols>
    <col min="1" max="1" width="41.42578125" style="453" customWidth="1"/>
    <col min="2" max="2" width="40.85546875" style="453" customWidth="1"/>
    <col min="3" max="3" width="19.42578125" customWidth="1"/>
    <col min="4" max="4" width="19.42578125" style="453" customWidth="1"/>
    <col min="5" max="5" width="19.42578125" customWidth="1"/>
    <col min="6" max="7" width="21.28515625" bestFit="1" customWidth="1"/>
    <col min="8" max="8" width="19.42578125" customWidth="1"/>
    <col min="9" max="10" width="20.42578125" bestFit="1" customWidth="1"/>
    <col min="11" max="11" width="20.28515625" bestFit="1" customWidth="1"/>
    <col min="12" max="14" width="19.42578125" customWidth="1"/>
    <col min="15" max="51" width="21.42578125" bestFit="1" customWidth="1"/>
    <col min="52" max="52" width="16.28515625" bestFit="1" customWidth="1"/>
  </cols>
  <sheetData>
    <row r="1" spans="1:52" x14ac:dyDescent="0.25">
      <c r="C1" s="250">
        <v>1999</v>
      </c>
      <c r="D1" s="531">
        <v>2000</v>
      </c>
      <c r="E1" s="251">
        <v>2001</v>
      </c>
      <c r="F1" s="251">
        <v>2002</v>
      </c>
      <c r="G1" s="251">
        <v>2003</v>
      </c>
      <c r="H1" s="251">
        <v>2004</v>
      </c>
      <c r="I1" s="251">
        <v>2005</v>
      </c>
      <c r="J1" s="251">
        <v>2006</v>
      </c>
      <c r="K1" s="251">
        <v>2007</v>
      </c>
      <c r="L1" s="251">
        <v>2008</v>
      </c>
      <c r="M1" s="251">
        <v>2009</v>
      </c>
      <c r="N1" s="251">
        <v>2010</v>
      </c>
      <c r="O1" s="251">
        <v>2011</v>
      </c>
      <c r="P1" s="251">
        <v>2012</v>
      </c>
      <c r="Q1" s="251">
        <v>2013</v>
      </c>
      <c r="R1" s="251">
        <v>2014</v>
      </c>
      <c r="S1" s="251">
        <v>2015</v>
      </c>
      <c r="T1" s="251">
        <v>2016</v>
      </c>
      <c r="U1" s="251">
        <v>2017</v>
      </c>
      <c r="V1" s="251">
        <v>2018</v>
      </c>
      <c r="W1" s="251">
        <v>2019</v>
      </c>
      <c r="X1" s="251">
        <v>2020</v>
      </c>
      <c r="Y1" s="251">
        <v>2021</v>
      </c>
      <c r="Z1" s="251">
        <v>2022</v>
      </c>
      <c r="AA1" s="251">
        <v>2023</v>
      </c>
      <c r="AB1" s="251">
        <v>2024</v>
      </c>
      <c r="AC1" s="251">
        <v>2025</v>
      </c>
      <c r="AD1" s="251">
        <v>2026</v>
      </c>
      <c r="AE1" s="251">
        <v>2027</v>
      </c>
      <c r="AF1" s="251">
        <v>2028</v>
      </c>
      <c r="AG1" s="251">
        <v>2029</v>
      </c>
      <c r="AH1" s="251">
        <v>2030</v>
      </c>
      <c r="AI1" s="251">
        <v>2031</v>
      </c>
      <c r="AJ1" s="251">
        <v>2032</v>
      </c>
      <c r="AK1" s="251">
        <v>2033</v>
      </c>
      <c r="AL1" s="251">
        <v>2034</v>
      </c>
      <c r="AM1" s="251">
        <v>2035</v>
      </c>
      <c r="AN1" s="251">
        <v>2036</v>
      </c>
      <c r="AO1" s="251">
        <v>2037</v>
      </c>
      <c r="AP1" s="251">
        <v>2038</v>
      </c>
      <c r="AQ1" s="251">
        <v>2039</v>
      </c>
      <c r="AR1" s="251">
        <v>2040</v>
      </c>
      <c r="AS1" s="251">
        <v>2041</v>
      </c>
      <c r="AT1" s="251">
        <v>2042</v>
      </c>
      <c r="AU1" s="251">
        <v>2043</v>
      </c>
      <c r="AV1" s="251">
        <v>2044</v>
      </c>
      <c r="AW1" s="251">
        <v>2045</v>
      </c>
      <c r="AX1" s="251">
        <v>2046</v>
      </c>
      <c r="AY1" s="251">
        <v>2047</v>
      </c>
      <c r="AZ1" s="251">
        <v>2048</v>
      </c>
    </row>
    <row r="2" spans="1:52" ht="15.75" thickBot="1" x14ac:dyDescent="0.3">
      <c r="C2" s="179">
        <v>0</v>
      </c>
      <c r="D2" s="532">
        <v>1</v>
      </c>
      <c r="E2" s="180">
        <v>2</v>
      </c>
      <c r="F2" s="180">
        <v>3</v>
      </c>
      <c r="G2" s="180">
        <v>4</v>
      </c>
      <c r="H2" s="180">
        <v>5</v>
      </c>
      <c r="I2" s="180">
        <v>6</v>
      </c>
      <c r="J2" s="180">
        <v>7</v>
      </c>
      <c r="K2" s="180">
        <v>8</v>
      </c>
      <c r="L2" s="180">
        <v>9</v>
      </c>
      <c r="M2" s="180">
        <v>10</v>
      </c>
      <c r="N2" s="180">
        <v>11</v>
      </c>
      <c r="O2" s="180">
        <v>12</v>
      </c>
      <c r="P2" s="180">
        <v>13</v>
      </c>
      <c r="Q2" s="180">
        <v>14</v>
      </c>
      <c r="R2" s="180">
        <v>15</v>
      </c>
      <c r="S2" s="180">
        <v>16</v>
      </c>
      <c r="T2" s="180">
        <v>17</v>
      </c>
      <c r="U2" s="180">
        <v>18</v>
      </c>
      <c r="V2" s="180">
        <v>19</v>
      </c>
      <c r="W2" s="180">
        <v>20</v>
      </c>
      <c r="X2" s="180">
        <v>21</v>
      </c>
      <c r="Y2" s="180">
        <v>22</v>
      </c>
      <c r="Z2" s="180">
        <v>23</v>
      </c>
      <c r="AA2" s="180">
        <v>24</v>
      </c>
      <c r="AB2" s="180">
        <v>25</v>
      </c>
      <c r="AC2" s="180">
        <v>26</v>
      </c>
      <c r="AD2" s="180">
        <v>27</v>
      </c>
      <c r="AE2" s="180">
        <v>28</v>
      </c>
      <c r="AF2" s="180">
        <v>29</v>
      </c>
      <c r="AG2" s="180">
        <v>30</v>
      </c>
      <c r="AH2" s="180">
        <v>31</v>
      </c>
      <c r="AI2" s="180">
        <v>32</v>
      </c>
      <c r="AJ2" s="180">
        <v>33</v>
      </c>
      <c r="AK2" s="180">
        <v>34</v>
      </c>
      <c r="AL2" s="180">
        <v>35</v>
      </c>
      <c r="AM2" s="180">
        <v>36</v>
      </c>
      <c r="AN2" s="180">
        <v>37</v>
      </c>
      <c r="AO2" s="180">
        <v>38</v>
      </c>
      <c r="AP2" s="180">
        <v>39</v>
      </c>
      <c r="AQ2" s="180">
        <v>40</v>
      </c>
      <c r="AR2" s="180">
        <v>41</v>
      </c>
      <c r="AS2" s="180">
        <v>42</v>
      </c>
      <c r="AT2" s="180">
        <v>43</v>
      </c>
      <c r="AU2" s="180">
        <v>44</v>
      </c>
      <c r="AV2" s="180">
        <v>45</v>
      </c>
      <c r="AW2" s="180">
        <v>46</v>
      </c>
      <c r="AX2" s="180">
        <v>47</v>
      </c>
      <c r="AY2" s="180">
        <v>48</v>
      </c>
      <c r="AZ2" s="180">
        <v>49</v>
      </c>
    </row>
    <row r="3" spans="1:52" x14ac:dyDescent="0.25">
      <c r="A3" s="454" t="s">
        <v>28</v>
      </c>
      <c r="B3" s="455"/>
      <c r="C3" s="252"/>
      <c r="D3" s="533"/>
      <c r="E3" s="254" t="s">
        <v>1</v>
      </c>
      <c r="F3" s="253"/>
      <c r="G3" s="253"/>
      <c r="H3" s="253"/>
      <c r="I3" s="253"/>
      <c r="J3" s="255"/>
      <c r="K3" s="256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7"/>
    </row>
    <row r="4" spans="1:52" x14ac:dyDescent="0.25">
      <c r="A4" s="456" t="s">
        <v>609</v>
      </c>
      <c r="B4" s="457"/>
      <c r="C4" s="258">
        <f t="shared" ref="C4:O4" si="0">D4/(1+C29)</f>
        <v>94799549.842246488</v>
      </c>
      <c r="D4" s="534">
        <f t="shared" si="0"/>
        <v>103551159.88503316</v>
      </c>
      <c r="E4" s="31">
        <f t="shared" si="0"/>
        <v>112612385.25760461</v>
      </c>
      <c r="F4" s="31">
        <f t="shared" si="0"/>
        <v>121220558.84150247</v>
      </c>
      <c r="G4" s="31">
        <f t="shared" si="0"/>
        <v>129695264.1391774</v>
      </c>
      <c r="H4" s="31">
        <f t="shared" si="0"/>
        <v>138113464.16516888</v>
      </c>
      <c r="I4" s="31">
        <f t="shared" si="0"/>
        <v>145706908.1075328</v>
      </c>
      <c r="J4" s="31">
        <f t="shared" si="0"/>
        <v>152778954.52576441</v>
      </c>
      <c r="K4" s="31">
        <f t="shared" si="0"/>
        <v>159623797.70687562</v>
      </c>
      <c r="L4" s="31">
        <f t="shared" si="0"/>
        <v>168714758.85424608</v>
      </c>
      <c r="M4" s="31">
        <f t="shared" si="0"/>
        <v>181654897.40771273</v>
      </c>
      <c r="N4" s="31">
        <f t="shared" si="0"/>
        <v>185287995.355867</v>
      </c>
      <c r="O4" s="31">
        <f t="shared" si="0"/>
        <v>191173614.03187689</v>
      </c>
      <c r="P4" s="31">
        <f>+D45</f>
        <v>198312651.5</v>
      </c>
      <c r="Q4" s="31">
        <f t="shared" ref="Q4:AZ4" si="1">P4*(1+P29)</f>
        <v>204658656.34800002</v>
      </c>
      <c r="R4" s="31">
        <f t="shared" si="1"/>
        <v>211207733.35113603</v>
      </c>
      <c r="S4" s="31">
        <f t="shared" si="1"/>
        <v>217966380.8183724</v>
      </c>
      <c r="T4" s="31">
        <f t="shared" si="1"/>
        <v>224941305.00456032</v>
      </c>
      <c r="U4" s="31">
        <f t="shared" si="1"/>
        <v>232139426.76470625</v>
      </c>
      <c r="V4" s="31">
        <f t="shared" si="1"/>
        <v>239567888.42117685</v>
      </c>
      <c r="W4" s="31">
        <f t="shared" si="1"/>
        <v>247234060.85065451</v>
      </c>
      <c r="X4" s="31">
        <f t="shared" si="1"/>
        <v>255145550.79787546</v>
      </c>
      <c r="Y4" s="31">
        <f t="shared" si="1"/>
        <v>263310208.4234075</v>
      </c>
      <c r="Z4" s="31">
        <f t="shared" si="1"/>
        <v>271736135.09295654</v>
      </c>
      <c r="AA4" s="31">
        <f t="shared" si="1"/>
        <v>280431691.41593117</v>
      </c>
      <c r="AB4" s="31">
        <f t="shared" si="1"/>
        <v>289405505.54124099</v>
      </c>
      <c r="AC4" s="31">
        <f t="shared" si="1"/>
        <v>298666481.7185607</v>
      </c>
      <c r="AD4" s="31">
        <f t="shared" si="1"/>
        <v>308223809.13355464</v>
      </c>
      <c r="AE4" s="31">
        <f t="shared" si="1"/>
        <v>318086971.02582842</v>
      </c>
      <c r="AF4" s="31">
        <f t="shared" si="1"/>
        <v>328265754.09865493</v>
      </c>
      <c r="AG4" s="31">
        <f t="shared" si="1"/>
        <v>338770258.22981191</v>
      </c>
      <c r="AH4" s="31">
        <f t="shared" si="1"/>
        <v>349610906.49316591</v>
      </c>
      <c r="AI4" s="31">
        <f t="shared" si="1"/>
        <v>360798455.50094724</v>
      </c>
      <c r="AJ4" s="31">
        <f t="shared" si="1"/>
        <v>372344006.07697755</v>
      </c>
      <c r="AK4" s="31">
        <f t="shared" si="1"/>
        <v>384259014.27144086</v>
      </c>
      <c r="AL4" s="31">
        <f t="shared" si="1"/>
        <v>396555302.728127</v>
      </c>
      <c r="AM4" s="31">
        <f t="shared" si="1"/>
        <v>409245072.41542709</v>
      </c>
      <c r="AN4" s="31">
        <f t="shared" si="1"/>
        <v>422340914.73272079</v>
      </c>
      <c r="AO4" s="31">
        <f t="shared" si="1"/>
        <v>435855824.00416785</v>
      </c>
      <c r="AP4" s="31">
        <f t="shared" si="1"/>
        <v>449803210.37230122</v>
      </c>
      <c r="AQ4" s="31">
        <f t="shared" si="1"/>
        <v>464196913.10421485</v>
      </c>
      <c r="AR4" s="31">
        <f t="shared" si="1"/>
        <v>479051214.32354975</v>
      </c>
      <c r="AS4" s="31">
        <f t="shared" si="1"/>
        <v>494380853.18190336</v>
      </c>
      <c r="AT4" s="31">
        <f t="shared" si="1"/>
        <v>510201040.4837243</v>
      </c>
      <c r="AU4" s="31">
        <f t="shared" si="1"/>
        <v>526527473.77920347</v>
      </c>
      <c r="AV4" s="31">
        <f t="shared" si="1"/>
        <v>543376352.94013798</v>
      </c>
      <c r="AW4" s="31">
        <f t="shared" si="1"/>
        <v>560764396.23422241</v>
      </c>
      <c r="AX4" s="31">
        <f t="shared" si="1"/>
        <v>578708856.91371751</v>
      </c>
      <c r="AY4" s="31">
        <f t="shared" si="1"/>
        <v>597227540.33495653</v>
      </c>
      <c r="AZ4" s="172">
        <f t="shared" si="1"/>
        <v>616338821.6256752</v>
      </c>
    </row>
    <row r="5" spans="1:52" x14ac:dyDescent="0.25">
      <c r="A5" s="458" t="s">
        <v>610</v>
      </c>
      <c r="B5" s="459"/>
      <c r="C5" s="259">
        <f>VRN!I25</f>
        <v>70762018612.858673</v>
      </c>
      <c r="D5" s="535">
        <f>VRN!J25</f>
        <v>93265013570.190079</v>
      </c>
      <c r="E5" s="259">
        <f>VRN!K25</f>
        <v>109875006185.34476</v>
      </c>
      <c r="F5" s="259">
        <f>VRN!L25</f>
        <v>130941585547.94403</v>
      </c>
      <c r="G5" s="259">
        <f>VRN!M25</f>
        <v>158834471633.8743</v>
      </c>
      <c r="H5" s="259">
        <f>VRN!N25</f>
        <v>151691098095.44193</v>
      </c>
      <c r="I5" s="259">
        <f>VRN!O25</f>
        <v>136820519065.98146</v>
      </c>
      <c r="J5" s="259">
        <f>VRN!P25</f>
        <v>146717481259.91583</v>
      </c>
      <c r="K5" s="259">
        <f>VRN!Q25</f>
        <v>130963135449.42683</v>
      </c>
      <c r="L5" s="259">
        <f>VRN!R25</f>
        <v>135045877557.18509</v>
      </c>
      <c r="M5" s="259">
        <f>VRN!S25</f>
        <v>144863931495.06369</v>
      </c>
      <c r="N5" s="259">
        <f>VRN!T25</f>
        <v>133078045446.06732</v>
      </c>
      <c r="O5" s="108">
        <f>+VRN!H16</f>
        <v>120091837654.04872</v>
      </c>
      <c r="P5" s="108">
        <f>+VRN!I16</f>
        <v>127405430567.18028</v>
      </c>
      <c r="Q5" s="108">
        <f>+VRN!J16</f>
        <v>135164421288.72156</v>
      </c>
      <c r="R5" s="108">
        <f>+VRN!K16</f>
        <v>143395934545.20468</v>
      </c>
      <c r="S5" s="108">
        <f>+VRN!L16</f>
        <v>152128746959.00763</v>
      </c>
      <c r="T5" s="108">
        <f>+VRN!M16</f>
        <v>161393387648.81119</v>
      </c>
      <c r="U5" s="108">
        <f>+VRN!N16</f>
        <v>171222244956.62378</v>
      </c>
      <c r="V5" s="108">
        <f>+VRN!O16</f>
        <v>181649679674.48215</v>
      </c>
      <c r="W5" s="108">
        <f>+VRN!P16</f>
        <v>192712145166.65811</v>
      </c>
      <c r="X5" s="108">
        <f>+VRN!Q16</f>
        <v>204448314807.30759</v>
      </c>
      <c r="Y5" s="108">
        <f>+VRN!R16</f>
        <v>216899217179.0726</v>
      </c>
      <c r="Z5" s="108">
        <f>+VRN!S16</f>
        <v>230108379505.27811</v>
      </c>
      <c r="AA5" s="108">
        <f>+VRN!T16</f>
        <v>244121979817.14954</v>
      </c>
      <c r="AB5" s="108">
        <f>+VRN!U16</f>
        <v>258989008388.01395</v>
      </c>
      <c r="AC5" s="108">
        <f>+VRN!V16</f>
        <v>274761438998.84399</v>
      </c>
      <c r="AD5" s="108">
        <f>+VRN!W16</f>
        <v>291494410633.8736</v>
      </c>
      <c r="AE5" s="108">
        <f>+VRN!X16</f>
        <v>309246420241.4765</v>
      </c>
      <c r="AF5" s="108">
        <f>+VRN!Y16</f>
        <v>328079527234.18243</v>
      </c>
      <c r="AG5" s="108">
        <f>+VRN!Z16</f>
        <v>348059570442.74414</v>
      </c>
      <c r="AH5" s="108">
        <f>+VRN!AA16</f>
        <v>369256398282.70721</v>
      </c>
      <c r="AI5" s="108">
        <f>+VRN!AB16</f>
        <v>391744112938.12408</v>
      </c>
      <c r="AJ5" s="108">
        <f>+VRN!AC16</f>
        <v>415601329416.05585</v>
      </c>
      <c r="AK5" s="108">
        <f>+VRN!AD16</f>
        <v>440911450377.49365</v>
      </c>
      <c r="AL5" s="108">
        <f>+VRN!AE16</f>
        <v>467762957705.48297</v>
      </c>
      <c r="AM5" s="108">
        <f>+VRN!AF16</f>
        <v>496249721829.74689</v>
      </c>
      <c r="AN5" s="108">
        <f>+VRN!AG16</f>
        <v>526471329889.17847</v>
      </c>
      <c r="AO5" s="108">
        <f>+VRN!AH16</f>
        <v>558533433879.42944</v>
      </c>
      <c r="AP5" s="108">
        <f>+VRN!AI16</f>
        <v>592548120002.68665</v>
      </c>
      <c r="AQ5" s="108">
        <f>+VRN!AJ16</f>
        <v>628634300510.85022</v>
      </c>
      <c r="AR5" s="108">
        <f>+VRN!AK16</f>
        <v>666918129411.96094</v>
      </c>
      <c r="AS5" s="108">
        <f>+VRN!AL16</f>
        <v>707533443493.14929</v>
      </c>
      <c r="AT5" s="108">
        <f>+VRN!AM16</f>
        <v>750622230201.88208</v>
      </c>
      <c r="AU5" s="108">
        <f>+VRN!AN16</f>
        <v>796335124021.17664</v>
      </c>
      <c r="AV5" s="108">
        <f>+VRN!AO16</f>
        <v>844831933074.06628</v>
      </c>
      <c r="AW5" s="108">
        <f>+VRN!AP16</f>
        <v>896282197798.27686</v>
      </c>
      <c r="AX5" s="108">
        <f>+VRN!AQ16</f>
        <v>0</v>
      </c>
      <c r="AY5" s="108">
        <f>+VRN!AR16</f>
        <v>0</v>
      </c>
      <c r="AZ5" s="108">
        <f>+VRN!AS16</f>
        <v>0</v>
      </c>
    </row>
    <row r="6" spans="1:52" x14ac:dyDescent="0.25">
      <c r="A6" s="460" t="s">
        <v>611</v>
      </c>
      <c r="B6" s="461"/>
      <c r="C6" s="260">
        <f>-PMT(9%,25,C5)</f>
        <v>7204015794.1005325</v>
      </c>
      <c r="D6" s="536">
        <f>-PMT(9%,25,D5)</f>
        <v>9494961336.1447716</v>
      </c>
      <c r="E6" s="108">
        <f t="shared" ref="E6:N6" si="2">-PMT(9%,25,E5)</f>
        <v>11185962405.434837</v>
      </c>
      <c r="F6" s="108">
        <f t="shared" si="2"/>
        <v>13330671861.592997</v>
      </c>
      <c r="G6" s="108">
        <f t="shared" si="2"/>
        <v>16170342010.143198</v>
      </c>
      <c r="H6" s="108">
        <f t="shared" si="2"/>
        <v>15443101934.141817</v>
      </c>
      <c r="I6" s="108">
        <f t="shared" si="2"/>
        <v>13929184040.112341</v>
      </c>
      <c r="J6" s="108">
        <f t="shared" si="2"/>
        <v>14936756652.600859</v>
      </c>
      <c r="K6" s="108">
        <f t="shared" si="2"/>
        <v>13332865776.262003</v>
      </c>
      <c r="L6" s="108">
        <f t="shared" si="2"/>
        <v>13748514442.087162</v>
      </c>
      <c r="M6" s="108">
        <f t="shared" si="2"/>
        <v>14748053700.891682</v>
      </c>
      <c r="N6" s="108">
        <f t="shared" si="2"/>
        <v>13548176833.204218</v>
      </c>
      <c r="O6" s="108">
        <f>-PMT(11.5%,30,O5)</f>
        <v>14358671996.087845</v>
      </c>
      <c r="P6" s="108">
        <f t="shared" ref="P6:AG6" si="3">-PMT(11.5%,30,P5)</f>
        <v>15233115120.649593</v>
      </c>
      <c r="Q6" s="108">
        <f t="shared" si="3"/>
        <v>16160811831.497152</v>
      </c>
      <c r="R6" s="108">
        <f t="shared" si="3"/>
        <v>17145005272.035326</v>
      </c>
      <c r="S6" s="108">
        <f t="shared" si="3"/>
        <v>18189136093.10228</v>
      </c>
      <c r="T6" s="108">
        <f t="shared" si="3"/>
        <v>19296854481.172207</v>
      </c>
      <c r="U6" s="108">
        <f t="shared" si="3"/>
        <v>20472032919.075592</v>
      </c>
      <c r="V6" s="108">
        <f t="shared" si="3"/>
        <v>21718779723.84729</v>
      </c>
      <c r="W6" s="108">
        <f t="shared" si="3"/>
        <v>23041453409.029591</v>
      </c>
      <c r="X6" s="108">
        <f t="shared" si="3"/>
        <v>24444677921.639492</v>
      </c>
      <c r="Y6" s="108">
        <f t="shared" si="3"/>
        <v>25933358807.067337</v>
      </c>
      <c r="Z6" s="108">
        <f t="shared" si="3"/>
        <v>27512700358.417736</v>
      </c>
      <c r="AA6" s="108">
        <f t="shared" si="3"/>
        <v>29188223810.245377</v>
      </c>
      <c r="AB6" s="108">
        <f t="shared" si="3"/>
        <v>30965786640.289322</v>
      </c>
      <c r="AC6" s="108">
        <f t="shared" si="3"/>
        <v>32851603046.682941</v>
      </c>
      <c r="AD6" s="108">
        <f t="shared" si="3"/>
        <v>34852265672.225929</v>
      </c>
      <c r="AE6" s="108">
        <f t="shared" si="3"/>
        <v>36974768651.66449</v>
      </c>
      <c r="AF6" s="108">
        <f t="shared" si="3"/>
        <v>39226532062.550858</v>
      </c>
      <c r="AG6" s="108">
        <f t="shared" si="3"/>
        <v>41615427865.160202</v>
      </c>
      <c r="AH6" s="108">
        <f t="shared" ref="AH6:AZ6" si="4">-PMT(11.5%,30,AH5)</f>
        <v>44149807422.14846</v>
      </c>
      <c r="AI6" s="108">
        <f t="shared" si="4"/>
        <v>46838530694.157295</v>
      </c>
      <c r="AJ6" s="108">
        <f t="shared" si="4"/>
        <v>49690997213.431473</v>
      </c>
      <c r="AK6" s="108">
        <f t="shared" si="4"/>
        <v>52717178943.729454</v>
      </c>
      <c r="AL6" s="108">
        <f t="shared" si="4"/>
        <v>55927655141.402573</v>
      </c>
      <c r="AM6" s="108">
        <f t="shared" si="4"/>
        <v>59333649339.513992</v>
      </c>
      <c r="AN6" s="108">
        <f t="shared" si="4"/>
        <v>62947068584.29039</v>
      </c>
      <c r="AO6" s="108">
        <f t="shared" si="4"/>
        <v>66780545061.073669</v>
      </c>
      <c r="AP6" s="108">
        <f t="shared" si="4"/>
        <v>70847480255.29306</v>
      </c>
      <c r="AQ6" s="108">
        <f t="shared" si="4"/>
        <v>75162091802.840393</v>
      </c>
      <c r="AR6" s="108">
        <f t="shared" si="4"/>
        <v>79739463193.633362</v>
      </c>
      <c r="AS6" s="108">
        <f t="shared" si="4"/>
        <v>84595596502.125641</v>
      </c>
      <c r="AT6" s="108">
        <f t="shared" si="4"/>
        <v>89747468329.105087</v>
      </c>
      <c r="AU6" s="108">
        <f t="shared" si="4"/>
        <v>95213089150.34758</v>
      </c>
      <c r="AV6" s="108">
        <f t="shared" si="4"/>
        <v>101011566279.60374</v>
      </c>
      <c r="AW6" s="108">
        <f t="shared" si="4"/>
        <v>107163170666.0316</v>
      </c>
      <c r="AX6" s="108">
        <f t="shared" si="4"/>
        <v>0</v>
      </c>
      <c r="AY6" s="108">
        <f t="shared" si="4"/>
        <v>0</v>
      </c>
      <c r="AZ6" s="126">
        <f t="shared" si="4"/>
        <v>0</v>
      </c>
    </row>
    <row r="7" spans="1:52" x14ac:dyDescent="0.25">
      <c r="A7" s="460" t="s">
        <v>612</v>
      </c>
      <c r="B7" s="461"/>
      <c r="C7" s="260"/>
      <c r="D7" s="536">
        <f>+D6*5%</f>
        <v>474748066.80723858</v>
      </c>
      <c r="E7" s="108">
        <f t="shared" ref="E7:N7" si="5">+E6*5%</f>
        <v>559298120.27174187</v>
      </c>
      <c r="F7" s="108">
        <f t="shared" si="5"/>
        <v>666533593.07964993</v>
      </c>
      <c r="G7" s="108">
        <f t="shared" si="5"/>
        <v>808517100.50715995</v>
      </c>
      <c r="H7" s="108">
        <f t="shared" si="5"/>
        <v>772155096.70709085</v>
      </c>
      <c r="I7" s="108">
        <f t="shared" si="5"/>
        <v>696459202.00561714</v>
      </c>
      <c r="J7" s="108">
        <f t="shared" si="5"/>
        <v>746837832.63004303</v>
      </c>
      <c r="K7" s="108">
        <f t="shared" si="5"/>
        <v>666643288.81310022</v>
      </c>
      <c r="L7" s="108">
        <f t="shared" si="5"/>
        <v>687425722.1043582</v>
      </c>
      <c r="M7" s="108">
        <f t="shared" si="5"/>
        <v>737402685.04458416</v>
      </c>
      <c r="N7" s="108">
        <f t="shared" si="5"/>
        <v>677408841.66021097</v>
      </c>
      <c r="O7" s="108">
        <f>+O6*5%</f>
        <v>717933599.80439234</v>
      </c>
      <c r="P7" s="108">
        <f>+P6*5%</f>
        <v>761655756.03247976</v>
      </c>
      <c r="Q7" s="108">
        <f t="shared" ref="Q7:AG7" si="6">+Q6*5%</f>
        <v>808040591.57485771</v>
      </c>
      <c r="R7" s="108">
        <f t="shared" si="6"/>
        <v>857250263.60176635</v>
      </c>
      <c r="S7" s="108">
        <f t="shared" si="6"/>
        <v>909456804.65511405</v>
      </c>
      <c r="T7" s="108">
        <f t="shared" si="6"/>
        <v>964842724.05861044</v>
      </c>
      <c r="U7" s="108">
        <f t="shared" si="6"/>
        <v>1023601645.9537797</v>
      </c>
      <c r="V7" s="108">
        <f t="shared" si="6"/>
        <v>1085938986.1923645</v>
      </c>
      <c r="W7" s="108">
        <f t="shared" si="6"/>
        <v>1152072670.4514797</v>
      </c>
      <c r="X7" s="108">
        <f t="shared" si="6"/>
        <v>1222233896.0819747</v>
      </c>
      <c r="Y7" s="108">
        <f t="shared" si="6"/>
        <v>1296667940.3533669</v>
      </c>
      <c r="Z7" s="108">
        <f t="shared" si="6"/>
        <v>1375635017.920887</v>
      </c>
      <c r="AA7" s="108">
        <f t="shared" si="6"/>
        <v>1459411190.512269</v>
      </c>
      <c r="AB7" s="108">
        <f t="shared" si="6"/>
        <v>1548289332.0144663</v>
      </c>
      <c r="AC7" s="108">
        <f t="shared" si="6"/>
        <v>1642580152.3341472</v>
      </c>
      <c r="AD7" s="108">
        <f t="shared" si="6"/>
        <v>1742613283.6112967</v>
      </c>
      <c r="AE7" s="108">
        <f t="shared" si="6"/>
        <v>1848738432.5832245</v>
      </c>
      <c r="AF7" s="108">
        <f t="shared" si="6"/>
        <v>1961326603.127543</v>
      </c>
      <c r="AG7" s="108">
        <f t="shared" si="6"/>
        <v>2080771393.2580101</v>
      </c>
      <c r="AH7" s="108">
        <f t="shared" ref="AH7:AZ7" si="7">+AH6*5%</f>
        <v>2207490371.1074233</v>
      </c>
      <c r="AI7" s="108">
        <f t="shared" si="7"/>
        <v>2341926534.7078648</v>
      </c>
      <c r="AJ7" s="108">
        <f t="shared" si="7"/>
        <v>2484549860.6715736</v>
      </c>
      <c r="AK7" s="108">
        <f t="shared" si="7"/>
        <v>2635858947.1864729</v>
      </c>
      <c r="AL7" s="108">
        <f t="shared" si="7"/>
        <v>2796382757.0701289</v>
      </c>
      <c r="AM7" s="108">
        <f t="shared" si="7"/>
        <v>2966682466.9756999</v>
      </c>
      <c r="AN7" s="108">
        <f t="shared" si="7"/>
        <v>3147353429.2145195</v>
      </c>
      <c r="AO7" s="108">
        <f t="shared" si="7"/>
        <v>3339027253.0536838</v>
      </c>
      <c r="AP7" s="108">
        <f t="shared" si="7"/>
        <v>3542374012.7646532</v>
      </c>
      <c r="AQ7" s="108">
        <f t="shared" si="7"/>
        <v>3758104590.1420197</v>
      </c>
      <c r="AR7" s="108">
        <f t="shared" si="7"/>
        <v>3986973159.6816683</v>
      </c>
      <c r="AS7" s="108">
        <f t="shared" si="7"/>
        <v>4229779825.1062822</v>
      </c>
      <c r="AT7" s="108">
        <f t="shared" si="7"/>
        <v>4487373416.4552546</v>
      </c>
      <c r="AU7" s="108">
        <f t="shared" si="7"/>
        <v>4760654457.5173788</v>
      </c>
      <c r="AV7" s="108">
        <f t="shared" si="7"/>
        <v>5050578313.9801874</v>
      </c>
      <c r="AW7" s="108">
        <f t="shared" si="7"/>
        <v>5358158533.3015804</v>
      </c>
      <c r="AX7" s="108">
        <f t="shared" si="7"/>
        <v>0</v>
      </c>
      <c r="AY7" s="108">
        <f t="shared" si="7"/>
        <v>0</v>
      </c>
      <c r="AZ7" s="126">
        <f t="shared" si="7"/>
        <v>0</v>
      </c>
    </row>
    <row r="8" spans="1:52" x14ac:dyDescent="0.25">
      <c r="A8" s="460" t="s">
        <v>613</v>
      </c>
      <c r="B8" s="461"/>
      <c r="C8" s="260"/>
      <c r="D8" s="537">
        <f>2.5%*D5</f>
        <v>2331625339.2547522</v>
      </c>
      <c r="E8" s="125">
        <f t="shared" ref="E8:N8" si="8">2.5%*E5</f>
        <v>2746875154.6336193</v>
      </c>
      <c r="F8" s="125">
        <f t="shared" si="8"/>
        <v>3273539638.6986008</v>
      </c>
      <c r="G8" s="125">
        <f t="shared" si="8"/>
        <v>3970861790.8468575</v>
      </c>
      <c r="H8" s="125">
        <f t="shared" si="8"/>
        <v>3792277452.3860483</v>
      </c>
      <c r="I8" s="125">
        <f t="shared" si="8"/>
        <v>3420512976.6495366</v>
      </c>
      <c r="J8" s="125">
        <f t="shared" si="8"/>
        <v>3667937031.4978962</v>
      </c>
      <c r="K8" s="125">
        <f t="shared" si="8"/>
        <v>3274078386.235671</v>
      </c>
      <c r="L8" s="125">
        <f t="shared" si="8"/>
        <v>3376146938.9296274</v>
      </c>
      <c r="M8" s="125">
        <f t="shared" si="8"/>
        <v>3621598287.3765926</v>
      </c>
      <c r="N8" s="125">
        <f t="shared" si="8"/>
        <v>3326951136.1516833</v>
      </c>
      <c r="O8" s="125">
        <f>2.87%*O5</f>
        <v>3446635740.6711984</v>
      </c>
      <c r="P8" s="125">
        <f>3.14%*P5</f>
        <v>4000530519.8094616</v>
      </c>
      <c r="Q8" s="125">
        <f>3.09%*Q5</f>
        <v>4176580617.8214955</v>
      </c>
      <c r="R8" s="125">
        <f>3.09%*R5</f>
        <v>4430934377.4468241</v>
      </c>
      <c r="S8" s="125">
        <f t="shared" ref="S8:AG8" si="9">3.09%*S5</f>
        <v>4700778281.0333357</v>
      </c>
      <c r="T8" s="125">
        <f t="shared" si="9"/>
        <v>4987055678.3482656</v>
      </c>
      <c r="U8" s="125">
        <f t="shared" si="9"/>
        <v>5290767369.1596746</v>
      </c>
      <c r="V8" s="125">
        <f t="shared" si="9"/>
        <v>5612975101.9414978</v>
      </c>
      <c r="W8" s="125">
        <f t="shared" si="9"/>
        <v>5954805285.6497355</v>
      </c>
      <c r="X8" s="125">
        <f t="shared" si="9"/>
        <v>6317452927.545804</v>
      </c>
      <c r="Y8" s="125">
        <f t="shared" si="9"/>
        <v>6702185810.8333426</v>
      </c>
      <c r="Z8" s="125">
        <f t="shared" si="9"/>
        <v>7110348926.7130928</v>
      </c>
      <c r="AA8" s="125">
        <f t="shared" si="9"/>
        <v>7543369176.3499203</v>
      </c>
      <c r="AB8" s="125">
        <f t="shared" si="9"/>
        <v>8002760359.1896305</v>
      </c>
      <c r="AC8" s="125">
        <f t="shared" si="9"/>
        <v>8490128465.0642786</v>
      </c>
      <c r="AD8" s="125">
        <f t="shared" si="9"/>
        <v>9007177288.5866928</v>
      </c>
      <c r="AE8" s="125">
        <f t="shared" si="9"/>
        <v>9555714385.4616222</v>
      </c>
      <c r="AF8" s="125">
        <f t="shared" si="9"/>
        <v>10137657391.536236</v>
      </c>
      <c r="AG8" s="125">
        <f t="shared" si="9"/>
        <v>10755040726.680794</v>
      </c>
      <c r="AH8" s="125">
        <f t="shared" ref="AH8:AZ8" si="10">3.09%*AH5</f>
        <v>11410022706.935652</v>
      </c>
      <c r="AI8" s="125">
        <f t="shared" si="10"/>
        <v>12104893089.788033</v>
      </c>
      <c r="AJ8" s="125">
        <f t="shared" si="10"/>
        <v>12842081078.956125</v>
      </c>
      <c r="AK8" s="125">
        <f t="shared" si="10"/>
        <v>13624163816.664553</v>
      </c>
      <c r="AL8" s="125">
        <f t="shared" si="10"/>
        <v>14453875393.099422</v>
      </c>
      <c r="AM8" s="125">
        <f t="shared" si="10"/>
        <v>15334116404.539177</v>
      </c>
      <c r="AN8" s="125">
        <f t="shared" si="10"/>
        <v>16267964093.575613</v>
      </c>
      <c r="AO8" s="125">
        <f t="shared" si="10"/>
        <v>17258683106.874367</v>
      </c>
      <c r="AP8" s="125">
        <f t="shared" si="10"/>
        <v>18309736908.083015</v>
      </c>
      <c r="AQ8" s="125">
        <f t="shared" si="10"/>
        <v>19424799885.785271</v>
      </c>
      <c r="AR8" s="125">
        <f t="shared" si="10"/>
        <v>20607770198.82959</v>
      </c>
      <c r="AS8" s="125">
        <f t="shared" si="10"/>
        <v>21862783403.938313</v>
      </c>
      <c r="AT8" s="125">
        <f t="shared" si="10"/>
        <v>23194226913.238155</v>
      </c>
      <c r="AU8" s="125">
        <f t="shared" si="10"/>
        <v>24606755332.254356</v>
      </c>
      <c r="AV8" s="125">
        <f t="shared" si="10"/>
        <v>26105306731.988647</v>
      </c>
      <c r="AW8" s="125">
        <f t="shared" si="10"/>
        <v>27695119911.966751</v>
      </c>
      <c r="AX8" s="125">
        <f t="shared" si="10"/>
        <v>0</v>
      </c>
      <c r="AY8" s="125">
        <f>3.09%*AY5</f>
        <v>0</v>
      </c>
      <c r="AZ8" s="173">
        <f t="shared" si="10"/>
        <v>0</v>
      </c>
    </row>
    <row r="9" spans="1:52" ht="17.25" x14ac:dyDescent="0.25">
      <c r="A9" s="462" t="s">
        <v>614</v>
      </c>
      <c r="B9" s="463"/>
      <c r="C9" s="260"/>
      <c r="D9" s="538">
        <f t="shared" ref="D9:L9" si="11">D4*7.6%</f>
        <v>7869888.1512625199</v>
      </c>
      <c r="E9" s="125">
        <f t="shared" si="11"/>
        <v>8558541.27957795</v>
      </c>
      <c r="F9" s="125">
        <f t="shared" si="11"/>
        <v>9212762.4719541874</v>
      </c>
      <c r="G9" s="125">
        <f t="shared" si="11"/>
        <v>9856840.0745774824</v>
      </c>
      <c r="H9" s="125">
        <f t="shared" si="11"/>
        <v>10496623.276552835</v>
      </c>
      <c r="I9" s="125">
        <f t="shared" si="11"/>
        <v>11073725.016172493</v>
      </c>
      <c r="J9" s="125">
        <f t="shared" si="11"/>
        <v>11611200.543958094</v>
      </c>
      <c r="K9" s="125">
        <f t="shared" si="11"/>
        <v>12131408.625722546</v>
      </c>
      <c r="L9" s="125">
        <f t="shared" si="11"/>
        <v>12822321.672922703</v>
      </c>
      <c r="M9" s="125">
        <f t="shared" ref="M9:AZ9" si="12">M4*5.69%</f>
        <v>10336163.662498856</v>
      </c>
      <c r="N9" s="125">
        <f t="shared" si="12"/>
        <v>10542886.935748834</v>
      </c>
      <c r="O9" s="125">
        <f t="shared" si="12"/>
        <v>10877778.638413796</v>
      </c>
      <c r="P9" s="125">
        <f t="shared" si="12"/>
        <v>11283989.870350001</v>
      </c>
      <c r="Q9" s="125">
        <f t="shared" si="12"/>
        <v>11645077.546201203</v>
      </c>
      <c r="R9" s="125">
        <f t="shared" si="12"/>
        <v>12017720.027679641</v>
      </c>
      <c r="S9" s="125">
        <f t="shared" si="12"/>
        <v>12402287.068565391</v>
      </c>
      <c r="T9" s="125">
        <f t="shared" si="12"/>
        <v>12799160.254759483</v>
      </c>
      <c r="U9" s="125">
        <f t="shared" si="12"/>
        <v>13208733.382911786</v>
      </c>
      <c r="V9" s="125">
        <f t="shared" si="12"/>
        <v>13631412.851164965</v>
      </c>
      <c r="W9" s="125">
        <f t="shared" si="12"/>
        <v>14067618.062402243</v>
      </c>
      <c r="X9" s="125">
        <f t="shared" si="12"/>
        <v>14517781.840399116</v>
      </c>
      <c r="Y9" s="125">
        <f t="shared" si="12"/>
        <v>14982350.859291889</v>
      </c>
      <c r="Z9" s="125">
        <f t="shared" si="12"/>
        <v>15461786.08678923</v>
      </c>
      <c r="AA9" s="125">
        <f t="shared" si="12"/>
        <v>15956563.241566485</v>
      </c>
      <c r="AB9" s="125">
        <f t="shared" si="12"/>
        <v>16467173.265296614</v>
      </c>
      <c r="AC9" s="125">
        <f t="shared" si="12"/>
        <v>16994122.809786104</v>
      </c>
      <c r="AD9" s="125">
        <f t="shared" si="12"/>
        <v>17537934.739699259</v>
      </c>
      <c r="AE9" s="125">
        <f t="shared" si="12"/>
        <v>18099148.651369639</v>
      </c>
      <c r="AF9" s="125">
        <f t="shared" si="12"/>
        <v>18678321.408213466</v>
      </c>
      <c r="AG9" s="125">
        <f t="shared" si="12"/>
        <v>19276027.693276301</v>
      </c>
      <c r="AH9" s="125">
        <f t="shared" si="12"/>
        <v>19892860.579461142</v>
      </c>
      <c r="AI9" s="125">
        <f t="shared" si="12"/>
        <v>20529432.118003901</v>
      </c>
      <c r="AJ9" s="125">
        <f t="shared" si="12"/>
        <v>21186373.945780024</v>
      </c>
      <c r="AK9" s="125">
        <f t="shared" si="12"/>
        <v>21864337.912044987</v>
      </c>
      <c r="AL9" s="125">
        <f t="shared" si="12"/>
        <v>22563996.725230429</v>
      </c>
      <c r="AM9" s="125">
        <f t="shared" si="12"/>
        <v>23286044.620437805</v>
      </c>
      <c r="AN9" s="125">
        <f t="shared" si="12"/>
        <v>24031198.048291817</v>
      </c>
      <c r="AO9" s="125">
        <f t="shared" si="12"/>
        <v>24800196.385837153</v>
      </c>
      <c r="AP9" s="125">
        <f t="shared" si="12"/>
        <v>25593802.670183942</v>
      </c>
      <c r="AQ9" s="125">
        <f t="shared" si="12"/>
        <v>26412804.355629828</v>
      </c>
      <c r="AR9" s="125">
        <f t="shared" si="12"/>
        <v>27258014.095009983</v>
      </c>
      <c r="AS9" s="125">
        <f t="shared" si="12"/>
        <v>28130270.546050303</v>
      </c>
      <c r="AT9" s="125">
        <f t="shared" si="12"/>
        <v>29030439.203523915</v>
      </c>
      <c r="AU9" s="125">
        <f t="shared" si="12"/>
        <v>29959413.258036681</v>
      </c>
      <c r="AV9" s="125">
        <f t="shared" si="12"/>
        <v>30918114.482293855</v>
      </c>
      <c r="AW9" s="125">
        <f t="shared" si="12"/>
        <v>31907494.145727258</v>
      </c>
      <c r="AX9" s="125">
        <f t="shared" si="12"/>
        <v>32928533.95839053</v>
      </c>
      <c r="AY9" s="125">
        <f t="shared" si="12"/>
        <v>33982247.045059033</v>
      </c>
      <c r="AZ9" s="173">
        <f t="shared" si="12"/>
        <v>35069678.95050092</v>
      </c>
    </row>
    <row r="10" spans="1:52" ht="15.75" thickBot="1" x14ac:dyDescent="0.3">
      <c r="A10" s="460" t="s">
        <v>615</v>
      </c>
      <c r="B10" s="461"/>
      <c r="C10" s="261"/>
      <c r="D10" s="539">
        <f>SUM(D6:D9)</f>
        <v>12309204630.358027</v>
      </c>
      <c r="E10" s="127">
        <f>SUM(E6:E9)</f>
        <v>14500694221.619776</v>
      </c>
      <c r="F10" s="127">
        <f>SUM(F6:F9)</f>
        <v>17279957855.843201</v>
      </c>
      <c r="G10" s="127">
        <f t="shared" ref="G10:N10" si="13">SUM(G6:G9)</f>
        <v>20959577741.571793</v>
      </c>
      <c r="H10" s="127">
        <f t="shared" si="13"/>
        <v>20018031106.511509</v>
      </c>
      <c r="I10" s="127">
        <f t="shared" si="13"/>
        <v>18057229943.783669</v>
      </c>
      <c r="J10" s="127">
        <f t="shared" si="13"/>
        <v>19363142717.272755</v>
      </c>
      <c r="K10" s="127">
        <f t="shared" si="13"/>
        <v>17285718859.936497</v>
      </c>
      <c r="L10" s="127">
        <f t="shared" si="13"/>
        <v>17824909424.794071</v>
      </c>
      <c r="M10" s="127">
        <f t="shared" si="13"/>
        <v>19117390836.975357</v>
      </c>
      <c r="N10" s="127">
        <f t="shared" si="13"/>
        <v>17563079697.951862</v>
      </c>
      <c r="O10" s="127">
        <f>SUM(O6:O9)</f>
        <v>18534119115.201847</v>
      </c>
      <c r="P10" s="127">
        <f>SUM(P6:P9)</f>
        <v>20006585386.361885</v>
      </c>
      <c r="Q10" s="127">
        <f t="shared" ref="Q10:AG10" si="14">SUM(Q6:Q9)</f>
        <v>21157078118.439705</v>
      </c>
      <c r="R10" s="127">
        <f t="shared" si="14"/>
        <v>22445207633.111595</v>
      </c>
      <c r="S10" s="127">
        <f t="shared" si="14"/>
        <v>23811773465.859295</v>
      </c>
      <c r="T10" s="127">
        <f t="shared" si="14"/>
        <v>25261552043.833843</v>
      </c>
      <c r="U10" s="127">
        <f t="shared" si="14"/>
        <v>26799610667.57196</v>
      </c>
      <c r="V10" s="127">
        <f t="shared" si="14"/>
        <v>28431325224.832317</v>
      </c>
      <c r="W10" s="127">
        <f t="shared" si="14"/>
        <v>30162398983.193207</v>
      </c>
      <c r="X10" s="127">
        <f t="shared" si="14"/>
        <v>31998882527.10767</v>
      </c>
      <c r="Y10" s="127">
        <f t="shared" si="14"/>
        <v>33947194909.113338</v>
      </c>
      <c r="Z10" s="127">
        <f t="shared" si="14"/>
        <v>36014146089.138504</v>
      </c>
      <c r="AA10" s="127">
        <f t="shared" si="14"/>
        <v>38206960740.349136</v>
      </c>
      <c r="AB10" s="127">
        <f t="shared" si="14"/>
        <v>40533303504.758713</v>
      </c>
      <c r="AC10" s="127">
        <f t="shared" si="14"/>
        <v>43001305786.891151</v>
      </c>
      <c r="AD10" s="127">
        <f t="shared" si="14"/>
        <v>45619594179.16362</v>
      </c>
      <c r="AE10" s="127">
        <f t="shared" si="14"/>
        <v>48397320618.360703</v>
      </c>
      <c r="AF10" s="127">
        <f t="shared" si="14"/>
        <v>51344194378.622841</v>
      </c>
      <c r="AG10" s="127">
        <f t="shared" si="14"/>
        <v>54470516012.792282</v>
      </c>
      <c r="AH10" s="127">
        <f t="shared" ref="AH10:AZ10" si="15">SUM(AH6:AH9)</f>
        <v>57787213360.770996</v>
      </c>
      <c r="AI10" s="127">
        <f t="shared" si="15"/>
        <v>61305879750.771194</v>
      </c>
      <c r="AJ10" s="127">
        <f t="shared" si="15"/>
        <v>65038814527.004944</v>
      </c>
      <c r="AK10" s="127">
        <f t="shared" si="15"/>
        <v>68999066045.492523</v>
      </c>
      <c r="AL10" s="127">
        <f t="shared" si="15"/>
        <v>73200477288.297363</v>
      </c>
      <c r="AM10" s="127">
        <f t="shared" si="15"/>
        <v>77657734255.649307</v>
      </c>
      <c r="AN10" s="127">
        <f t="shared" si="15"/>
        <v>82386417305.128815</v>
      </c>
      <c r="AO10" s="127">
        <f t="shared" si="15"/>
        <v>87403055617.387543</v>
      </c>
      <c r="AP10" s="127">
        <f t="shared" si="15"/>
        <v>92725184978.810898</v>
      </c>
      <c r="AQ10" s="127">
        <f t="shared" si="15"/>
        <v>98371409083.123306</v>
      </c>
      <c r="AR10" s="127">
        <f t="shared" si="15"/>
        <v>104361464566.23964</v>
      </c>
      <c r="AS10" s="127">
        <f t="shared" si="15"/>
        <v>110716290001.71628</v>
      </c>
      <c r="AT10" s="127">
        <f t="shared" si="15"/>
        <v>117458099098.00203</v>
      </c>
      <c r="AU10" s="127">
        <f t="shared" si="15"/>
        <v>124610458353.37737</v>
      </c>
      <c r="AV10" s="127">
        <f t="shared" si="15"/>
        <v>132198369440.05489</v>
      </c>
      <c r="AW10" s="127">
        <f t="shared" si="15"/>
        <v>140248356605.44565</v>
      </c>
      <c r="AX10" s="127">
        <f t="shared" si="15"/>
        <v>32928533.95839053</v>
      </c>
      <c r="AY10" s="127">
        <f t="shared" si="15"/>
        <v>33982247.045059033</v>
      </c>
      <c r="AZ10" s="174">
        <f t="shared" si="15"/>
        <v>35069678.95050092</v>
      </c>
    </row>
    <row r="11" spans="1:52" ht="18" thickBot="1" x14ac:dyDescent="0.3">
      <c r="A11" s="464" t="s">
        <v>616</v>
      </c>
      <c r="B11" s="465"/>
      <c r="C11" s="262"/>
      <c r="D11" s="540">
        <f>+D10*D30</f>
        <v>13667869556.813427</v>
      </c>
      <c r="E11" s="248">
        <f t="shared" ref="E11:AG11" si="16">+E10*E30</f>
        <v>17217306825.795975</v>
      </c>
      <c r="F11" s="248">
        <f t="shared" si="16"/>
        <v>22421341065.237881</v>
      </c>
      <c r="G11" s="248">
        <f t="shared" si="16"/>
        <v>28752385033.411865</v>
      </c>
      <c r="H11" s="248">
        <f t="shared" si="16"/>
        <v>28735070491.887005</v>
      </c>
      <c r="I11" s="248">
        <f t="shared" si="16"/>
        <v>26456487019.314499</v>
      </c>
      <c r="J11" s="248">
        <f t="shared" si="16"/>
        <v>29941910529.755341</v>
      </c>
      <c r="K11" s="248">
        <f t="shared" si="16"/>
        <v>27069469200.651379</v>
      </c>
      <c r="L11" s="248">
        <f t="shared" si="16"/>
        <v>30424933310.067291</v>
      </c>
      <c r="M11" s="248">
        <f t="shared" si="16"/>
        <v>31918585272.241047</v>
      </c>
      <c r="N11" s="248">
        <f t="shared" si="16"/>
        <v>30605393273.96627</v>
      </c>
      <c r="O11" s="248">
        <f t="shared" si="16"/>
        <v>33977030625.862938</v>
      </c>
      <c r="P11" s="248">
        <f t="shared" si="16"/>
        <v>37776669663.724419</v>
      </c>
      <c r="Q11" s="248">
        <f t="shared" si="16"/>
        <v>41147514869.028114</v>
      </c>
      <c r="R11" s="248">
        <f t="shared" si="16"/>
        <v>44962326316.574265</v>
      </c>
      <c r="S11" s="248">
        <f t="shared" si="16"/>
        <v>49130831339.869606</v>
      </c>
      <c r="T11" s="248">
        <f t="shared" si="16"/>
        <v>53685824210.753517</v>
      </c>
      <c r="U11" s="248">
        <f t="shared" si="16"/>
        <v>58663139947.258553</v>
      </c>
      <c r="V11" s="248">
        <f t="shared" si="16"/>
        <v>64101936262.289497</v>
      </c>
      <c r="W11" s="248">
        <f t="shared" si="16"/>
        <v>70045001655.890778</v>
      </c>
      <c r="X11" s="248">
        <f t="shared" si="16"/>
        <v>76539092075.276413</v>
      </c>
      <c r="Y11" s="248">
        <f t="shared" si="16"/>
        <v>83635298791.581299</v>
      </c>
      <c r="Z11" s="248">
        <f t="shared" si="16"/>
        <v>91389450387.918732</v>
      </c>
      <c r="AA11" s="248">
        <f t="shared" si="16"/>
        <v>99862552021.733261</v>
      </c>
      <c r="AB11" s="248">
        <f t="shared" si="16"/>
        <v>109121265417.72849</v>
      </c>
      <c r="AC11" s="248">
        <f t="shared" si="16"/>
        <v>119238433368.13739</v>
      </c>
      <c r="AD11" s="248">
        <f t="shared" si="16"/>
        <v>130293652867.30617</v>
      </c>
      <c r="AE11" s="248">
        <f t="shared" si="16"/>
        <v>142373901390.24203</v>
      </c>
      <c r="AF11" s="248">
        <f t="shared" si="16"/>
        <v>155574221242.93634</v>
      </c>
      <c r="AG11" s="248">
        <f t="shared" si="16"/>
        <v>169998467369.21185</v>
      </c>
      <c r="AH11" s="248">
        <f t="shared" ref="AH11:AZ11" si="17">+AH10*AH30</f>
        <v>185760124498.15012</v>
      </c>
      <c r="AI11" s="248">
        <f t="shared" si="17"/>
        <v>202983200061.76074</v>
      </c>
      <c r="AJ11" s="248">
        <f t="shared" si="17"/>
        <v>221803199908.75241</v>
      </c>
      <c r="AK11" s="248">
        <f t="shared" si="17"/>
        <v>242368194491.74643</v>
      </c>
      <c r="AL11" s="248">
        <f t="shared" si="17"/>
        <v>264839983917.16556</v>
      </c>
      <c r="AM11" s="248">
        <f t="shared" si="17"/>
        <v>289395371024.93262</v>
      </c>
      <c r="AN11" s="248">
        <f t="shared" si="17"/>
        <v>316227552515.14691</v>
      </c>
      <c r="AO11" s="248">
        <f t="shared" si="17"/>
        <v>345547639067.76208</v>
      </c>
      <c r="AP11" s="248">
        <f t="shared" si="17"/>
        <v>377586316416.27429</v>
      </c>
      <c r="AQ11" s="248">
        <f t="shared" si="17"/>
        <v>412595660445.52765</v>
      </c>
      <c r="AR11" s="248">
        <f t="shared" si="17"/>
        <v>450851120595.6911</v>
      </c>
      <c r="AS11" s="248">
        <f t="shared" si="17"/>
        <v>492653687178.77881</v>
      </c>
      <c r="AT11" s="248">
        <f t="shared" si="17"/>
        <v>538332259661.21515</v>
      </c>
      <c r="AU11" s="248">
        <f t="shared" si="17"/>
        <v>588246234547.24792</v>
      </c>
      <c r="AV11" s="248">
        <f t="shared" si="17"/>
        <v>642788333225.95898</v>
      </c>
      <c r="AW11" s="248">
        <f t="shared" si="17"/>
        <v>702387692032.78149</v>
      </c>
      <c r="AX11" s="248">
        <f t="shared" si="17"/>
        <v>169859066.12187508</v>
      </c>
      <c r="AY11" s="248">
        <f t="shared" si="17"/>
        <v>180553392.92490837</v>
      </c>
      <c r="AZ11" s="249">
        <f t="shared" si="17"/>
        <v>191921034.54346061</v>
      </c>
    </row>
    <row r="12" spans="1:52" x14ac:dyDescent="0.25">
      <c r="A12" s="456" t="s">
        <v>617</v>
      </c>
      <c r="B12" s="457"/>
      <c r="C12" s="260">
        <f>'Financiacion ACTUALMENTE'!B5-'Financiacion ACTUALMENTE'!B6</f>
        <v>17681425870.68</v>
      </c>
      <c r="D12" s="537"/>
      <c r="E12" s="31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26"/>
    </row>
    <row r="13" spans="1:52" x14ac:dyDescent="0.25">
      <c r="A13" s="456" t="s">
        <v>618</v>
      </c>
      <c r="B13" s="457"/>
      <c r="C13" s="263"/>
      <c r="D13" s="541">
        <f>'Financiacion ACTUALMENTE'!C20</f>
        <v>510929850.97080898</v>
      </c>
      <c r="E13" s="368">
        <f>'Financiacion ACTUALMENTE'!D20</f>
        <v>542198757.85022259</v>
      </c>
      <c r="F13" s="368">
        <f>'Financiacion ACTUALMENTE'!E20</f>
        <v>575381321.83065605</v>
      </c>
      <c r="G13" s="368">
        <f>'Financiacion ACTUALMENTE'!F20</f>
        <v>610594658.7266922</v>
      </c>
      <c r="H13" s="368">
        <f>'Financiacion ACTUALMENTE'!G20</f>
        <v>647963051.84076548</v>
      </c>
      <c r="I13" s="368">
        <f>'Financiacion ACTUALMENTE'!H20</f>
        <v>687618390.61342049</v>
      </c>
      <c r="J13" s="368">
        <f>'Financiacion ACTUALMENTE'!I20</f>
        <v>729700636.11896181</v>
      </c>
      <c r="K13" s="368">
        <f>'Financiacion ACTUALMENTE'!J20</f>
        <v>774358315.04944229</v>
      </c>
      <c r="L13" s="368">
        <f>'Financiacion ACTUALMENTE'!K20</f>
        <v>821749043.93046856</v>
      </c>
      <c r="M13" s="368">
        <f>'Financiacion ACTUALMENTE'!L20</f>
        <v>872040085.41901302</v>
      </c>
      <c r="N13" s="368">
        <f>'Financiacion ACTUALMENTE'!M20</f>
        <v>925408938.64665675</v>
      </c>
      <c r="O13" s="368">
        <f>'Financiacion ACTUALMENTE'!N20</f>
        <v>982043965.69183207</v>
      </c>
      <c r="P13" s="368">
        <f>'Financiacion ACTUALMENTE'!O20</f>
        <v>1042145056.3921723</v>
      </c>
      <c r="Q13" s="368">
        <f>'Financiacion ACTUALMENTE'!P20</f>
        <v>1105924333.8433733</v>
      </c>
      <c r="R13" s="368">
        <f>'Financiacion ACTUALMENTE'!Q20</f>
        <v>1173606903.0745878</v>
      </c>
      <c r="S13" s="368">
        <f>'Financiacion ACTUALMENTE'!R20</f>
        <v>1245431645.5427525</v>
      </c>
      <c r="T13" s="368">
        <f>'Financiacion ACTUALMENTE'!S20</f>
        <v>1321652062.249969</v>
      </c>
      <c r="U13" s="368">
        <f>'Financiacion ACTUALMENTE'!T20</f>
        <v>1402537168.459667</v>
      </c>
      <c r="V13" s="368">
        <f>'Financiacion ACTUALMENTE'!U20</f>
        <v>1488372443.1693988</v>
      </c>
      <c r="W13" s="368">
        <f>'Financiacion ACTUALMENTE'!V20</f>
        <v>1579460836.691366</v>
      </c>
      <c r="X13" s="368">
        <f>'Financiacion ACTUALMENTE'!W20</f>
        <v>1676123839.8968775</v>
      </c>
      <c r="Y13" s="368">
        <f>'Financiacion ACTUALMENTE'!X20</f>
        <v>1778702618.8985662</v>
      </c>
      <c r="Z13" s="368">
        <f>'Financiacion ACTUALMENTE'!Y20</f>
        <v>1887559219.1751585</v>
      </c>
      <c r="AA13" s="368">
        <f>'Financiacion ACTUALMENTE'!Z20</f>
        <v>2003077843.3886783</v>
      </c>
      <c r="AB13" s="368">
        <f>'Financiacion ACTUALMENTE'!AA20</f>
        <v>2125666207.4040656</v>
      </c>
      <c r="AC13" s="368">
        <f>'Financiacion ACTUALMENTE'!AB20</f>
        <v>2255756979.2971945</v>
      </c>
      <c r="AD13" s="368">
        <f>'Financiacion ACTUALMENTE'!AC20</f>
        <v>2393809306.4301825</v>
      </c>
      <c r="AE13" s="368">
        <f>'Financiacion ACTUALMENTE'!AD20</f>
        <v>2540310435.9837098</v>
      </c>
      <c r="AF13" s="368">
        <f>'Financiacion ACTUALMENTE'!AE20</f>
        <v>2695777434.6659126</v>
      </c>
      <c r="AG13" s="368">
        <f>'Financiacion ACTUALMENTE'!AF20</f>
        <v>2860759013.6674666</v>
      </c>
      <c r="AH13" s="368">
        <f>'Financiacion ACTUALMENTE'!AG20</f>
        <v>0</v>
      </c>
      <c r="AI13" s="368">
        <f>'Financiacion ACTUALMENTE'!AH20</f>
        <v>0</v>
      </c>
      <c r="AJ13" s="368">
        <f>'Financiacion ACTUALMENTE'!AI20</f>
        <v>0</v>
      </c>
      <c r="AK13" s="368">
        <f>'Financiacion ACTUALMENTE'!AJ20</f>
        <v>0</v>
      </c>
      <c r="AL13" s="368">
        <f>'Financiacion ACTUALMENTE'!AK20</f>
        <v>0</v>
      </c>
      <c r="AM13" s="368">
        <f>'Financiacion ACTUALMENTE'!AL20</f>
        <v>0</v>
      </c>
      <c r="AN13" s="368">
        <f>'Financiacion ACTUALMENTE'!AM20</f>
        <v>0</v>
      </c>
      <c r="AO13" s="368">
        <f>'Financiacion ACTUALMENTE'!AN20</f>
        <v>0</v>
      </c>
      <c r="AP13" s="368">
        <f>'Financiacion ACTUALMENTE'!AO20</f>
        <v>0</v>
      </c>
      <c r="AQ13" s="368">
        <f>'Financiacion ACTUALMENTE'!AP20</f>
        <v>0</v>
      </c>
      <c r="AR13" s="368">
        <f>'Financiacion ACTUALMENTE'!AQ20</f>
        <v>0</v>
      </c>
      <c r="AS13" s="368">
        <f>'Financiacion ACTUALMENTE'!AR20</f>
        <v>0</v>
      </c>
      <c r="AT13" s="368">
        <f>'Financiacion ACTUALMENTE'!AS20</f>
        <v>0</v>
      </c>
      <c r="AU13" s="368">
        <f>'Financiacion ACTUALMENTE'!AT20</f>
        <v>0</v>
      </c>
      <c r="AV13" s="368">
        <f>'Financiacion ACTUALMENTE'!AU20</f>
        <v>0</v>
      </c>
      <c r="AW13" s="368">
        <f>'Financiacion ACTUALMENTE'!AV20</f>
        <v>0</v>
      </c>
      <c r="AX13" s="368">
        <f>'Financiacion ACTUALMENTE'!AW20</f>
        <v>0</v>
      </c>
      <c r="AY13" s="368">
        <f>'Financiacion ACTUALMENTE'!AX20</f>
        <v>0</v>
      </c>
      <c r="AZ13" s="368">
        <f>'Financiacion ACTUALMENTE'!AY20</f>
        <v>0</v>
      </c>
    </row>
    <row r="14" spans="1:52" x14ac:dyDescent="0.25">
      <c r="A14" s="456" t="s">
        <v>619</v>
      </c>
      <c r="B14" s="457"/>
      <c r="C14" s="263">
        <v>722507045</v>
      </c>
      <c r="D14" s="542">
        <v>16170672.84</v>
      </c>
      <c r="E14" s="237"/>
      <c r="F14" s="238"/>
      <c r="G14" s="238"/>
      <c r="H14" s="238"/>
      <c r="I14" s="238"/>
      <c r="J14" s="238"/>
      <c r="K14" s="238">
        <v>11530199</v>
      </c>
      <c r="L14" s="238">
        <v>0</v>
      </c>
      <c r="M14" s="238">
        <v>1136277017.5899999</v>
      </c>
      <c r="N14" s="238">
        <v>343372363.60000002</v>
      </c>
      <c r="O14" s="238">
        <v>29102571.469999999</v>
      </c>
      <c r="P14" s="238">
        <v>1396559254</v>
      </c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8"/>
      <c r="AX14" s="238"/>
      <c r="AY14" s="238"/>
      <c r="AZ14" s="239"/>
    </row>
    <row r="15" spans="1:52" ht="15.75" thickBot="1" x14ac:dyDescent="0.3">
      <c r="A15" s="466" t="s">
        <v>620</v>
      </c>
      <c r="B15" s="467"/>
      <c r="C15" s="264">
        <f>+C13+C12+C14</f>
        <v>18403932915.68</v>
      </c>
      <c r="D15" s="543">
        <f t="shared" ref="D15:AZ15" si="18">+D13+D12+D14</f>
        <v>527100523.81080896</v>
      </c>
      <c r="E15" s="264">
        <f t="shared" si="18"/>
        <v>542198757.85022259</v>
      </c>
      <c r="F15" s="264">
        <f t="shared" si="18"/>
        <v>575381321.83065605</v>
      </c>
      <c r="G15" s="264">
        <f t="shared" si="18"/>
        <v>610594658.7266922</v>
      </c>
      <c r="H15" s="264">
        <f t="shared" si="18"/>
        <v>647963051.84076548</v>
      </c>
      <c r="I15" s="264">
        <f t="shared" si="18"/>
        <v>687618390.61342049</v>
      </c>
      <c r="J15" s="264">
        <f t="shared" si="18"/>
        <v>729700636.11896181</v>
      </c>
      <c r="K15" s="264">
        <f t="shared" si="18"/>
        <v>785888514.04944229</v>
      </c>
      <c r="L15" s="264">
        <f t="shared" si="18"/>
        <v>821749043.93046856</v>
      </c>
      <c r="M15" s="264">
        <f t="shared" si="18"/>
        <v>2008317103.0090129</v>
      </c>
      <c r="N15" s="264">
        <f t="shared" si="18"/>
        <v>1268781302.2466569</v>
      </c>
      <c r="O15" s="264">
        <f t="shared" si="18"/>
        <v>1011146537.1618321</v>
      </c>
      <c r="P15" s="264">
        <f t="shared" si="18"/>
        <v>2438704310.3921723</v>
      </c>
      <c r="Q15" s="264">
        <f t="shared" si="18"/>
        <v>1105924333.8433733</v>
      </c>
      <c r="R15" s="264">
        <f t="shared" si="18"/>
        <v>1173606903.0745878</v>
      </c>
      <c r="S15" s="264">
        <f t="shared" si="18"/>
        <v>1245431645.5427525</v>
      </c>
      <c r="T15" s="264">
        <f t="shared" si="18"/>
        <v>1321652062.249969</v>
      </c>
      <c r="U15" s="264">
        <f t="shared" si="18"/>
        <v>1402537168.459667</v>
      </c>
      <c r="V15" s="264">
        <f t="shared" si="18"/>
        <v>1488372443.1693988</v>
      </c>
      <c r="W15" s="264">
        <f t="shared" si="18"/>
        <v>1579460836.691366</v>
      </c>
      <c r="X15" s="264">
        <f t="shared" si="18"/>
        <v>1676123839.8968775</v>
      </c>
      <c r="Y15" s="264">
        <f t="shared" si="18"/>
        <v>1778702618.8985662</v>
      </c>
      <c r="Z15" s="264">
        <f t="shared" si="18"/>
        <v>1887559219.1751585</v>
      </c>
      <c r="AA15" s="264">
        <f t="shared" si="18"/>
        <v>2003077843.3886783</v>
      </c>
      <c r="AB15" s="264">
        <f t="shared" si="18"/>
        <v>2125666207.4040656</v>
      </c>
      <c r="AC15" s="264">
        <f t="shared" si="18"/>
        <v>2255756979.2971945</v>
      </c>
      <c r="AD15" s="264">
        <f t="shared" si="18"/>
        <v>2393809306.4301825</v>
      </c>
      <c r="AE15" s="264">
        <f t="shared" si="18"/>
        <v>2540310435.9837098</v>
      </c>
      <c r="AF15" s="264">
        <f t="shared" si="18"/>
        <v>2695777434.6659126</v>
      </c>
      <c r="AG15" s="264">
        <f t="shared" si="18"/>
        <v>2860759013.6674666</v>
      </c>
      <c r="AH15" s="264">
        <f t="shared" si="18"/>
        <v>0</v>
      </c>
      <c r="AI15" s="264">
        <f t="shared" si="18"/>
        <v>0</v>
      </c>
      <c r="AJ15" s="264">
        <f t="shared" si="18"/>
        <v>0</v>
      </c>
      <c r="AK15" s="264">
        <f t="shared" si="18"/>
        <v>0</v>
      </c>
      <c r="AL15" s="264">
        <f t="shared" si="18"/>
        <v>0</v>
      </c>
      <c r="AM15" s="264">
        <f t="shared" si="18"/>
        <v>0</v>
      </c>
      <c r="AN15" s="264">
        <f t="shared" si="18"/>
        <v>0</v>
      </c>
      <c r="AO15" s="264">
        <f t="shared" si="18"/>
        <v>0</v>
      </c>
      <c r="AP15" s="264">
        <f t="shared" si="18"/>
        <v>0</v>
      </c>
      <c r="AQ15" s="264">
        <f t="shared" si="18"/>
        <v>0</v>
      </c>
      <c r="AR15" s="264">
        <f t="shared" si="18"/>
        <v>0</v>
      </c>
      <c r="AS15" s="264">
        <f t="shared" si="18"/>
        <v>0</v>
      </c>
      <c r="AT15" s="264">
        <f t="shared" si="18"/>
        <v>0</v>
      </c>
      <c r="AU15" s="264">
        <f t="shared" si="18"/>
        <v>0</v>
      </c>
      <c r="AV15" s="264">
        <f t="shared" si="18"/>
        <v>0</v>
      </c>
      <c r="AW15" s="264">
        <f t="shared" si="18"/>
        <v>0</v>
      </c>
      <c r="AX15" s="264">
        <f t="shared" si="18"/>
        <v>0</v>
      </c>
      <c r="AY15" s="264">
        <f t="shared" si="18"/>
        <v>0</v>
      </c>
      <c r="AZ15" s="264">
        <f t="shared" si="18"/>
        <v>0</v>
      </c>
    </row>
    <row r="16" spans="1:52" ht="15.75" thickBot="1" x14ac:dyDescent="0.3">
      <c r="A16" s="468"/>
      <c r="B16" s="468"/>
      <c r="C16" s="28"/>
      <c r="D16" s="544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52" x14ac:dyDescent="0.25">
      <c r="A17" s="469" t="s">
        <v>621</v>
      </c>
      <c r="B17" s="470"/>
      <c r="C17" s="218"/>
      <c r="D17" s="545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86">
        <f>'Ingresos&amp;Compensaciones'!N37</f>
        <v>0.99423176746422415</v>
      </c>
      <c r="Q17" s="286">
        <f>'Ingresos&amp;Compensaciones'!N38</f>
        <v>0.99408975364129581</v>
      </c>
      <c r="R17" s="286">
        <f>'Ingresos&amp;Compensaciones'!N39</f>
        <v>0.9939604977732639</v>
      </c>
      <c r="S17" s="286">
        <f>'Ingresos&amp;Compensaciones'!N40</f>
        <v>0.99384201111685033</v>
      </c>
      <c r="T17" s="286">
        <f>'Ingresos&amp;Compensaciones'!N41</f>
        <v>0.99373272821392789</v>
      </c>
      <c r="U17" s="286">
        <f>'Ingresos&amp;Compensaciones'!N42</f>
        <v>0.99363139581251347</v>
      </c>
      <c r="V17" s="286">
        <f>'Ingresos&amp;Compensaciones'!N43</f>
        <v>0.99353699577023891</v>
      </c>
      <c r="W17" s="286">
        <f>'Ingresos&amp;Compensaciones'!N44</f>
        <v>0.9934486902373415</v>
      </c>
      <c r="X17" s="286">
        <f>'Ingresos&amp;Compensaciones'!N45</f>
        <v>0.99336578184663871</v>
      </c>
      <c r="Y17" s="286">
        <f>'Ingresos&amp;Compensaciones'!N46</f>
        <v>0.99328768425571878</v>
      </c>
      <c r="Z17" s="286">
        <f>'Ingresos&amp;Compensaciones'!N47</f>
        <v>0.99321389998308141</v>
      </c>
      <c r="AA17" s="286">
        <f>'Ingresos&amp;Compensaciones'!N48</f>
        <v>0.99314400348146847</v>
      </c>
      <c r="AB17" s="286">
        <f>'Ingresos&amp;Compensaciones'!N49</f>
        <v>0.99307762803596555</v>
      </c>
      <c r="AC17" s="286">
        <f>'Ingresos&amp;Compensaciones'!N50</f>
        <v>0.99301445549850509</v>
      </c>
      <c r="AD17" s="286">
        <f>'Ingresos&amp;Compensaciones'!N51</f>
        <v>0.9929542081552466</v>
      </c>
      <c r="AE17" s="286">
        <f>'Ingresos&amp;Compensaciones'!N52</f>
        <v>0.99289664221826379</v>
      </c>
      <c r="AF17" s="286">
        <f>'Ingresos&amp;Compensaciones'!N53</f>
        <v>0.99284154256864454</v>
      </c>
      <c r="AG17" s="286">
        <f>'Ingresos&amp;Compensaciones'!N54</f>
        <v>0.99278871847404371</v>
      </c>
      <c r="AH17" s="286">
        <f>'Ingresos&amp;Compensaciones'!N55</f>
        <v>0.99273800007248925</v>
      </c>
      <c r="AI17" s="286">
        <f>'Ingresos&amp;Compensaciones'!N56</f>
        <v>0.99268923546423249</v>
      </c>
      <c r="AJ17" s="286">
        <f>'Ingresos&amp;Compensaciones'!N57</f>
        <v>0.99264228829015655</v>
      </c>
      <c r="AK17" s="286">
        <f>'Ingresos&amp;Compensaciones'!N58</f>
        <v>0.99259703570259517</v>
      </c>
      <c r="AL17" s="286">
        <f>'Ingresos&amp;Compensaciones'!N59</f>
        <v>0.99255336665494676</v>
      </c>
      <c r="AM17" s="286">
        <f>'Ingresos&amp;Compensaciones'!N60</f>
        <v>0.99251118045203623</v>
      </c>
      <c r="AN17" s="286">
        <f>'Ingresos&amp;Compensaciones'!N61</f>
        <v>0.99247038551512956</v>
      </c>
      <c r="AO17" s="286">
        <f>'Ingresos&amp;Compensaciones'!N62</f>
        <v>0.99243089832469844</v>
      </c>
      <c r="AP17" s="286">
        <f>'Ingresos&amp;Compensaciones'!N63</f>
        <v>0.99239264251121506</v>
      </c>
      <c r="AQ17" s="286">
        <f>'Ingresos&amp;Compensaciones'!N64</f>
        <v>0.99235554806988224</v>
      </c>
      <c r="AR17" s="286">
        <f>'Ingresos&amp;Compensaciones'!N65</f>
        <v>0.99231955067964162</v>
      </c>
      <c r="AS17" s="286">
        <f>'Ingresos&amp;Compensaciones'!N66</f>
        <v>0.99228459111033873</v>
      </c>
      <c r="AT17" s="286">
        <f>'Ingresos&amp;Compensaciones'!N67</f>
        <v>0.99225061470475362</v>
      </c>
      <c r="AU17" s="286">
        <f>'Ingresos&amp;Compensaciones'!N68</f>
        <v>0.9922175709244706</v>
      </c>
      <c r="AV17" s="286">
        <f>'Ingresos&amp;Compensaciones'!N69</f>
        <v>0.9921854129504154</v>
      </c>
      <c r="AW17" s="286">
        <f>'Ingresos&amp;Compensaciones'!N70</f>
        <v>0.99215409733037774</v>
      </c>
      <c r="AX17" s="286">
        <f>'Ingresos&amp;Compensaciones'!N71</f>
        <v>0.99212358366706754</v>
      </c>
      <c r="AY17" s="286">
        <f>'Ingresos&amp;Compensaciones'!N72</f>
        <v>0.99209383434125786</v>
      </c>
      <c r="AZ17" s="287">
        <f>'Ingresos&amp;Compensaciones'!N73</f>
        <v>0.99206481426540438</v>
      </c>
    </row>
    <row r="18" spans="1:52" ht="15.75" thickBot="1" x14ac:dyDescent="0.3">
      <c r="A18" s="471" t="s">
        <v>217</v>
      </c>
      <c r="B18" s="472"/>
      <c r="C18" s="221"/>
      <c r="D18" s="546"/>
      <c r="E18" s="226">
        <f>E21/D21</f>
        <v>0.91386896568375975</v>
      </c>
      <c r="F18" s="226">
        <f t="shared" ref="F18:AF18" si="19">F21/E21</f>
        <v>0.65509818351903326</v>
      </c>
      <c r="G18" s="226">
        <f t="shared" si="19"/>
        <v>1.4965306753246497</v>
      </c>
      <c r="H18" s="226">
        <f t="shared" si="19"/>
        <v>0.76859565670625429</v>
      </c>
      <c r="I18" s="226">
        <f t="shared" si="19"/>
        <v>1.2332140234749003</v>
      </c>
      <c r="J18" s="226">
        <f t="shared" si="19"/>
        <v>1.018267247314955</v>
      </c>
      <c r="K18" s="226">
        <f t="shared" si="19"/>
        <v>1.4256019934608684</v>
      </c>
      <c r="L18" s="226">
        <f t="shared" si="19"/>
        <v>1.5470460713499039</v>
      </c>
      <c r="M18" s="226">
        <f t="shared" si="19"/>
        <v>1.6162129692357041</v>
      </c>
      <c r="N18" s="226">
        <f t="shared" si="19"/>
        <v>0.59940625501617328</v>
      </c>
      <c r="O18" s="226">
        <f t="shared" si="19"/>
        <v>1.2243905878138974</v>
      </c>
      <c r="P18" s="226">
        <f t="shared" si="19"/>
        <v>0.92368478778279839</v>
      </c>
      <c r="Q18" s="226">
        <f t="shared" si="19"/>
        <v>1.0246199892337093</v>
      </c>
      <c r="R18" s="226">
        <f t="shared" si="19"/>
        <v>1.0218697936070906</v>
      </c>
      <c r="S18" s="226">
        <f t="shared" si="19"/>
        <v>1.0196186129196274</v>
      </c>
      <c r="T18" s="226">
        <f t="shared" si="19"/>
        <v>1.0177465248794915</v>
      </c>
      <c r="U18" s="226">
        <f t="shared" si="19"/>
        <v>1.0161685027988741</v>
      </c>
      <c r="V18" s="226">
        <f t="shared" si="19"/>
        <v>1.0148227208812963</v>
      </c>
      <c r="W18" s="226">
        <f t="shared" si="19"/>
        <v>1.0136632330349982</v>
      </c>
      <c r="X18" s="226">
        <f t="shared" si="19"/>
        <v>1.0126552389837162</v>
      </c>
      <c r="Y18" s="226">
        <f t="shared" si="19"/>
        <v>1.0117719359108435</v>
      </c>
      <c r="Z18" s="226">
        <f t="shared" si="19"/>
        <v>1.0109923721482026</v>
      </c>
      <c r="AA18" s="226">
        <f t="shared" si="19"/>
        <v>1.0102999515831879</v>
      </c>
      <c r="AB18" s="226">
        <f t="shared" si="19"/>
        <v>1.0096813709463692</v>
      </c>
      <c r="AC18" s="226">
        <f t="shared" si="19"/>
        <v>0.99530220954032367</v>
      </c>
      <c r="AD18" s="226">
        <f t="shared" si="19"/>
        <v>1.0086245736814929</v>
      </c>
      <c r="AE18" s="226">
        <f t="shared" si="19"/>
        <v>1.0081702579711707</v>
      </c>
      <c r="AF18" s="226">
        <f t="shared" si="19"/>
        <v>1.0077568456091173</v>
      </c>
      <c r="AG18" s="226">
        <f t="shared" ref="AG18:AZ18" si="20">AG21/AF21</f>
        <v>1.0073792566495476</v>
      </c>
      <c r="AH18" s="226">
        <f t="shared" si="20"/>
        <v>1.0070332022639674</v>
      </c>
      <c r="AI18" s="226">
        <f t="shared" si="20"/>
        <v>1.006715038383851</v>
      </c>
      <c r="AJ18" s="226">
        <f t="shared" si="20"/>
        <v>1.0064216504096464</v>
      </c>
      <c r="AK18" s="226">
        <f t="shared" si="20"/>
        <v>1.0061503615996321</v>
      </c>
      <c r="AL18" s="226">
        <f t="shared" si="20"/>
        <v>1.0058988596856693</v>
      </c>
      <c r="AM18" s="226">
        <f t="shared" si="20"/>
        <v>1.0056651376475445</v>
      </c>
      <c r="AN18" s="226">
        <f t="shared" si="20"/>
        <v>1.0054474455747522</v>
      </c>
      <c r="AO18" s="226">
        <f t="shared" si="20"/>
        <v>1.005244251284108</v>
      </c>
      <c r="AP18" s="226">
        <f t="shared" si="20"/>
        <v>1.0050542079000222</v>
      </c>
      <c r="AQ18" s="226">
        <f t="shared" si="20"/>
        <v>1.0048761270109239</v>
      </c>
      <c r="AR18" s="226">
        <f t="shared" si="20"/>
        <v>1.0047089563214864</v>
      </c>
      <c r="AS18" s="226">
        <f t="shared" si="20"/>
        <v>1.0045517609510444</v>
      </c>
      <c r="AT18" s="226">
        <f t="shared" si="20"/>
        <v>1.0044037077063592</v>
      </c>
      <c r="AU18" s="226">
        <f t="shared" si="20"/>
        <v>1.004264051795603</v>
      </c>
      <c r="AV18" s="226">
        <f t="shared" si="20"/>
        <v>1.0041321255540019</v>
      </c>
      <c r="AW18" s="226">
        <f t="shared" si="20"/>
        <v>1.004007328837591</v>
      </c>
      <c r="AX18" s="226">
        <f t="shared" si="20"/>
        <v>1.0038891208054792</v>
      </c>
      <c r="AY18" s="226">
        <f t="shared" si="20"/>
        <v>1.0037770128637431</v>
      </c>
      <c r="AZ18" s="227">
        <f t="shared" si="20"/>
        <v>1.0036705625844549</v>
      </c>
    </row>
    <row r="19" spans="1:52" ht="30" x14ac:dyDescent="0.25">
      <c r="A19" s="473" t="s">
        <v>622</v>
      </c>
      <c r="B19" s="474" t="s">
        <v>127</v>
      </c>
      <c r="C19" s="265"/>
      <c r="D19" s="545">
        <f>D24/D25*D11</f>
        <v>0</v>
      </c>
      <c r="E19" s="218">
        <f t="shared" ref="E19:AG19" si="21">E24/E25*E11</f>
        <v>0</v>
      </c>
      <c r="F19" s="218">
        <f t="shared" si="21"/>
        <v>0</v>
      </c>
      <c r="G19" s="218">
        <f t="shared" si="21"/>
        <v>0</v>
      </c>
      <c r="H19" s="218">
        <f t="shared" si="21"/>
        <v>0</v>
      </c>
      <c r="I19" s="218">
        <f t="shared" si="21"/>
        <v>0</v>
      </c>
      <c r="J19" s="218">
        <f t="shared" si="21"/>
        <v>0</v>
      </c>
      <c r="K19" s="218">
        <f t="shared" si="21"/>
        <v>0</v>
      </c>
      <c r="L19" s="218"/>
      <c r="M19" s="218"/>
      <c r="N19" s="218">
        <v>11225757</v>
      </c>
      <c r="O19" s="218"/>
      <c r="P19" s="218">
        <f t="shared" si="21"/>
        <v>10909164.835363213</v>
      </c>
      <c r="Q19" s="218">
        <f t="shared" si="21"/>
        <v>172733876.51852968</v>
      </c>
      <c r="R19" s="218">
        <f t="shared" si="21"/>
        <v>194559785.11953107</v>
      </c>
      <c r="S19" s="218">
        <f t="shared" si="21"/>
        <v>218418977.35487723</v>
      </c>
      <c r="T19" s="218">
        <f t="shared" si="21"/>
        <v>244535870.20528567</v>
      </c>
      <c r="U19" s="218">
        <f t="shared" si="21"/>
        <v>273151736.6177488</v>
      </c>
      <c r="V19" s="218">
        <f t="shared" si="21"/>
        <v>304527495.70883125</v>
      </c>
      <c r="W19" s="218">
        <f t="shared" si="21"/>
        <v>338946431.84508777</v>
      </c>
      <c r="X19" s="218">
        <f t="shared" si="21"/>
        <v>376716944.9175964</v>
      </c>
      <c r="Y19" s="218">
        <f t="shared" si="21"/>
        <v>418175404.78861874</v>
      </c>
      <c r="Z19" s="218">
        <f>Z24/Z25*Z11</f>
        <v>463689165.91281664</v>
      </c>
      <c r="AA19" s="218">
        <f t="shared" si="21"/>
        <v>513659788.40751702</v>
      </c>
      <c r="AB19" s="218">
        <f t="shared" si="21"/>
        <v>568526506.52797318</v>
      </c>
      <c r="AC19" s="218">
        <f t="shared" si="21"/>
        <v>625934213.53975427</v>
      </c>
      <c r="AD19" s="218">
        <f t="shared" si="21"/>
        <v>691817698.34541214</v>
      </c>
      <c r="AE19" s="218">
        <f t="shared" si="21"/>
        <v>764155848.2206825</v>
      </c>
      <c r="AF19" s="218">
        <f t="shared" si="21"/>
        <v>843577306.08151579</v>
      </c>
      <c r="AG19" s="218">
        <f t="shared" si="21"/>
        <v>930770579.10893273</v>
      </c>
      <c r="AH19" s="218">
        <f t="shared" ref="AH19:AZ19" si="22">AH24/AH25*AH11</f>
        <v>1026489794.497333</v>
      </c>
      <c r="AI19" s="218">
        <f t="shared" si="22"/>
        <v>1131560991.3720098</v>
      </c>
      <c r="AJ19" s="218">
        <f t="shared" si="22"/>
        <v>1246889001.4077914</v>
      </c>
      <c r="AK19" s="218">
        <f t="shared" si="22"/>
        <v>1373464975.2118101</v>
      </c>
      <c r="AL19" s="218">
        <f t="shared" si="22"/>
        <v>1512374616.5958512</v>
      </c>
      <c r="AM19" s="218">
        <f t="shared" si="22"/>
        <v>1664807192.4812343</v>
      </c>
      <c r="AN19" s="218">
        <f t="shared" si="22"/>
        <v>1832065392.3721588</v>
      </c>
      <c r="AO19" s="218">
        <f t="shared" si="22"/>
        <v>2015576118.1605427</v>
      </c>
      <c r="AP19" s="218">
        <f t="shared" si="22"/>
        <v>2216902292.5182538</v>
      </c>
      <c r="AQ19" s="218">
        <f t="shared" si="22"/>
        <v>2437755782.3553171</v>
      </c>
      <c r="AR19" s="218">
        <f t="shared" si="22"/>
        <v>2680011542.8389168</v>
      </c>
      <c r="AS19" s="218">
        <f t="shared" si="22"/>
        <v>2945723097.3426156</v>
      </c>
      <c r="AT19" s="218">
        <f t="shared" si="22"/>
        <v>3237139479.5079894</v>
      </c>
      <c r="AU19" s="218">
        <f t="shared" si="22"/>
        <v>3556723775.4444366</v>
      </c>
      <c r="AV19" s="218">
        <f t="shared" si="22"/>
        <v>3907173417.0454693</v>
      </c>
      <c r="AW19" s="218">
        <f t="shared" si="22"/>
        <v>4291442391.5840187</v>
      </c>
      <c r="AX19" s="218">
        <f t="shared" si="22"/>
        <v>1042986.5106818466</v>
      </c>
      <c r="AY19" s="218">
        <f t="shared" si="22"/>
        <v>1114024.2831065427</v>
      </c>
      <c r="AZ19" s="219">
        <f t="shared" si="22"/>
        <v>1189732.8149512603</v>
      </c>
    </row>
    <row r="20" spans="1:52" ht="6.75" customHeight="1" x14ac:dyDescent="0.25">
      <c r="A20" s="473"/>
      <c r="B20" s="474"/>
      <c r="C20" s="223"/>
      <c r="D20" s="547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46"/>
    </row>
    <row r="21" spans="1:52" x14ac:dyDescent="0.25">
      <c r="A21" s="475" t="s">
        <v>207</v>
      </c>
      <c r="B21" s="476"/>
      <c r="C21" s="266"/>
      <c r="D21" s="548">
        <f>(1-'Ingresos&amp;Compensaciones'!M26)*C25</f>
        <v>24.182856000000015</v>
      </c>
      <c r="E21" s="215">
        <f>(1-'Ingresos&amp;Compensaciones'!N26)*D25</f>
        <v>22.099961599999318</v>
      </c>
      <c r="F21" s="215">
        <f>(1-'Ingresos&amp;Compensaciones'!N27)*D25</f>
        <v>14.477644699999942</v>
      </c>
      <c r="G21" s="215">
        <f>(1-'Ingresos&amp;Compensaciones'!N28)*D25</f>
        <v>21.666239400001249</v>
      </c>
      <c r="H21" s="215">
        <f>(1-'Ingresos&amp;Compensaciones'!N29)*D25</f>
        <v>16.65257749999888</v>
      </c>
      <c r="I21" s="215">
        <f>(1-'Ingresos&amp;Compensaciones'!N30)*D25</f>
        <v>20.536192100001216</v>
      </c>
      <c r="J21" s="215">
        <f>(1-'Ingresos&amp;Compensaciones'!N31)*D25</f>
        <v>20.911331799999363</v>
      </c>
      <c r="K21" s="215">
        <f>(1-'Ingresos&amp;Compensaciones'!N32)*D25</f>
        <v>29.81123630000074</v>
      </c>
      <c r="L21" s="215">
        <f>(1-'Ingresos&amp;Compensaciones'!N33)*D25</f>
        <v>46.11935599999979</v>
      </c>
      <c r="M21" s="215">
        <f>(1-'Ingresos&amp;Compensaciones'!N34)*D25</f>
        <v>74.538701299998152</v>
      </c>
      <c r="N21" s="215">
        <f>(1-'Ingresos&amp;Compensaciones'!N35)*D25</f>
        <v>44.678963800001057</v>
      </c>
      <c r="O21" s="215">
        <f>(1-'Ingresos&amp;Compensaciones'!N36)*D25</f>
        <v>54.704502749999136</v>
      </c>
      <c r="P21" s="109">
        <f>(1-P17)*P25</f>
        <v>50.529717013396464</v>
      </c>
      <c r="Q21" s="109">
        <f t="shared" ref="Q21:AG21" si="23">(1-Q17)*Q25</f>
        <v>51.773758102248664</v>
      </c>
      <c r="R21" s="109">
        <f t="shared" si="23"/>
        <v>52.906039506208273</v>
      </c>
      <c r="S21" s="109">
        <f t="shared" si="23"/>
        <v>53.943982616391089</v>
      </c>
      <c r="T21" s="109">
        <f t="shared" si="23"/>
        <v>54.901300845991727</v>
      </c>
      <c r="U21" s="109">
        <f t="shared" si="23"/>
        <v>55.788972682381967</v>
      </c>
      <c r="V21" s="109">
        <f t="shared" si="23"/>
        <v>56.615917052707175</v>
      </c>
      <c r="W21" s="109">
        <f t="shared" si="23"/>
        <v>57.389473520888437</v>
      </c>
      <c r="X21" s="109">
        <f t="shared" si="23"/>
        <v>58.115751023444929</v>
      </c>
      <c r="Y21" s="109">
        <f t="shared" si="23"/>
        <v>58.79988591990346</v>
      </c>
      <c r="Z21" s="109">
        <f t="shared" si="23"/>
        <v>59.446236148206893</v>
      </c>
      <c r="AA21" s="109">
        <f t="shared" si="23"/>
        <v>60.058529502336171</v>
      </c>
      <c r="AB21" s="109">
        <f t="shared" si="23"/>
        <v>60.639978404941751</v>
      </c>
      <c r="AC21" s="109">
        <f t="shared" si="23"/>
        <v>60.355104492916034</v>
      </c>
      <c r="AD21" s="109">
        <f t="shared" si="23"/>
        <v>60.875641538669392</v>
      </c>
      <c r="AE21" s="109">
        <f t="shared" si="23"/>
        <v>61.373011234200838</v>
      </c>
      <c r="AF21" s="109">
        <f t="shared" si="23"/>
        <v>61.84907220691116</v>
      </c>
      <c r="AG21" s="109">
        <f t="shared" si="23"/>
        <v>62.305472384262366</v>
      </c>
      <c r="AH21" s="109">
        <f t="shared" ref="AH21:AZ21" si="24">(1-AH17)*AH25</f>
        <v>62.743679373692913</v>
      </c>
      <c r="AI21" s="109">
        <f t="shared" si="24"/>
        <v>63.165005589031296</v>
      </c>
      <c r="AJ21" s="109">
        <f t="shared" si="24"/>
        <v>63.570629173047415</v>
      </c>
      <c r="AK21" s="109">
        <f t="shared" si="24"/>
        <v>63.961611529577773</v>
      </c>
      <c r="AL21" s="109">
        <f t="shared" si="24"/>
        <v>64.338912101260036</v>
      </c>
      <c r="AM21" s="109">
        <f t="shared" si="24"/>
        <v>64.70340089440694</v>
      </c>
      <c r="AN21" s="109">
        <f t="shared" si="24"/>
        <v>65.055869149280596</v>
      </c>
      <c r="AO21" s="109">
        <f t="shared" si="24"/>
        <v>65.397038474605466</v>
      </c>
      <c r="AP21" s="109">
        <f t="shared" si="24"/>
        <v>65.727568703101866</v>
      </c>
      <c r="AQ21" s="109">
        <f t="shared" si="24"/>
        <v>66.048064676217422</v>
      </c>
      <c r="AR21" s="109">
        <f t="shared" si="24"/>
        <v>66.359082127896443</v>
      </c>
      <c r="AS21" s="109">
        <f t="shared" si="24"/>
        <v>66.661132806673351</v>
      </c>
      <c r="AT21" s="109">
        <f t="shared" si="24"/>
        <v>66.954688950928727</v>
      </c>
      <c r="AU21" s="109">
        <f t="shared" si="24"/>
        <v>67.240187212573971</v>
      </c>
      <c r="AV21" s="109">
        <f t="shared" si="24"/>
        <v>67.518032108410921</v>
      </c>
      <c r="AW21" s="109">
        <f t="shared" si="24"/>
        <v>67.788599065536346</v>
      </c>
      <c r="AX21" s="109">
        <f t="shared" si="24"/>
        <v>68.052237116536418</v>
      </c>
      <c r="AY21" s="109">
        <f t="shared" si="24"/>
        <v>68.30927129153207</v>
      </c>
      <c r="AZ21" s="109">
        <f t="shared" si="24"/>
        <v>68.560004746906145</v>
      </c>
    </row>
    <row r="22" spans="1:52" x14ac:dyDescent="0.25">
      <c r="A22" s="475" t="s">
        <v>208</v>
      </c>
      <c r="B22" s="476"/>
      <c r="C22" s="266">
        <v>48</v>
      </c>
      <c r="D22" s="549">
        <v>48</v>
      </c>
      <c r="E22" s="109">
        <v>48</v>
      </c>
      <c r="F22" s="109">
        <v>48</v>
      </c>
      <c r="G22" s="109">
        <v>48</v>
      </c>
      <c r="H22" s="109">
        <v>48</v>
      </c>
      <c r="I22" s="109">
        <v>48</v>
      </c>
      <c r="J22" s="109">
        <v>48</v>
      </c>
      <c r="K22" s="109">
        <v>48</v>
      </c>
      <c r="L22" s="109">
        <v>48</v>
      </c>
      <c r="M22" s="109">
        <v>48</v>
      </c>
      <c r="N22" s="109">
        <v>48</v>
      </c>
      <c r="O22" s="109">
        <v>48</v>
      </c>
      <c r="P22" s="109">
        <v>48</v>
      </c>
      <c r="Q22" s="109">
        <v>15</v>
      </c>
      <c r="R22" s="109">
        <v>15</v>
      </c>
      <c r="S22" s="109">
        <v>15</v>
      </c>
      <c r="T22" s="109">
        <v>15</v>
      </c>
      <c r="U22" s="109">
        <v>15</v>
      </c>
      <c r="V22" s="109">
        <v>15</v>
      </c>
      <c r="W22" s="109">
        <v>15</v>
      </c>
      <c r="X22" s="109">
        <v>15</v>
      </c>
      <c r="Y22" s="109">
        <v>15</v>
      </c>
      <c r="Z22" s="109">
        <v>15</v>
      </c>
      <c r="AA22" s="109">
        <v>15</v>
      </c>
      <c r="AB22" s="109">
        <v>15</v>
      </c>
      <c r="AC22" s="109">
        <v>15</v>
      </c>
      <c r="AD22" s="109">
        <v>15</v>
      </c>
      <c r="AE22" s="109">
        <v>15</v>
      </c>
      <c r="AF22" s="109">
        <v>15</v>
      </c>
      <c r="AG22" s="109">
        <v>15</v>
      </c>
      <c r="AH22" s="109">
        <v>15</v>
      </c>
      <c r="AI22" s="109">
        <v>15</v>
      </c>
      <c r="AJ22" s="109">
        <v>15</v>
      </c>
      <c r="AK22" s="109">
        <v>15</v>
      </c>
      <c r="AL22" s="109">
        <v>15</v>
      </c>
      <c r="AM22" s="109">
        <v>15</v>
      </c>
      <c r="AN22" s="109">
        <v>15</v>
      </c>
      <c r="AO22" s="109">
        <v>15</v>
      </c>
      <c r="AP22" s="109">
        <v>15</v>
      </c>
      <c r="AQ22" s="109">
        <v>15</v>
      </c>
      <c r="AR22" s="109">
        <v>15</v>
      </c>
      <c r="AS22" s="109">
        <v>15</v>
      </c>
      <c r="AT22" s="109">
        <v>15</v>
      </c>
      <c r="AU22" s="109">
        <v>15</v>
      </c>
      <c r="AV22" s="109">
        <v>15</v>
      </c>
      <c r="AW22" s="109">
        <v>15</v>
      </c>
      <c r="AX22" s="109">
        <v>15</v>
      </c>
      <c r="AY22" s="109">
        <v>15</v>
      </c>
      <c r="AZ22" s="220">
        <v>15</v>
      </c>
    </row>
    <row r="23" spans="1:52" x14ac:dyDescent="0.25">
      <c r="A23" s="477" t="s">
        <v>209</v>
      </c>
      <c r="B23" s="478"/>
      <c r="C23" s="266"/>
      <c r="D23" s="54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  <c r="S23" s="109">
        <v>0</v>
      </c>
      <c r="T23" s="109">
        <v>0</v>
      </c>
      <c r="U23" s="109">
        <v>0</v>
      </c>
      <c r="V23" s="109">
        <v>0</v>
      </c>
      <c r="W23" s="109">
        <v>0</v>
      </c>
      <c r="X23" s="109">
        <v>0</v>
      </c>
      <c r="Y23" s="109">
        <v>0</v>
      </c>
      <c r="Z23" s="109">
        <v>0</v>
      </c>
      <c r="AA23" s="109">
        <v>0</v>
      </c>
      <c r="AB23" s="109">
        <v>0</v>
      </c>
      <c r="AC23" s="109">
        <v>0</v>
      </c>
      <c r="AD23" s="109">
        <v>0</v>
      </c>
      <c r="AE23" s="109">
        <v>0</v>
      </c>
      <c r="AF23" s="109">
        <v>0</v>
      </c>
      <c r="AG23" s="109">
        <v>0</v>
      </c>
      <c r="AH23" s="109">
        <v>0</v>
      </c>
      <c r="AI23" s="109">
        <v>0</v>
      </c>
      <c r="AJ23" s="109">
        <v>0</v>
      </c>
      <c r="AK23" s="109">
        <v>0</v>
      </c>
      <c r="AL23" s="109">
        <v>0</v>
      </c>
      <c r="AM23" s="109">
        <v>0</v>
      </c>
      <c r="AN23" s="109">
        <v>0</v>
      </c>
      <c r="AO23" s="109">
        <v>0</v>
      </c>
      <c r="AP23" s="109">
        <v>0</v>
      </c>
      <c r="AQ23" s="109">
        <v>0</v>
      </c>
      <c r="AR23" s="109">
        <v>0</v>
      </c>
      <c r="AS23" s="109">
        <v>0</v>
      </c>
      <c r="AT23" s="109">
        <v>0</v>
      </c>
      <c r="AU23" s="109">
        <v>0</v>
      </c>
      <c r="AV23" s="109">
        <v>0</v>
      </c>
      <c r="AW23" s="109">
        <v>0</v>
      </c>
      <c r="AX23" s="109">
        <v>0</v>
      </c>
      <c r="AY23" s="109">
        <v>0</v>
      </c>
      <c r="AZ23" s="220">
        <v>0</v>
      </c>
    </row>
    <row r="24" spans="1:52" x14ac:dyDescent="0.25">
      <c r="A24" s="477" t="s">
        <v>210</v>
      </c>
      <c r="B24" s="478"/>
      <c r="C24" s="267">
        <f>+MAX(0,C21-C22-C23)</f>
        <v>0</v>
      </c>
      <c r="D24" s="550">
        <f>+MAX(0,D21-D22-D23)</f>
        <v>0</v>
      </c>
      <c r="E24" s="216">
        <f t="shared" ref="E24:O24" si="25">+MAX(0,E21-E22-E23)</f>
        <v>0</v>
      </c>
      <c r="F24" s="216">
        <f t="shared" si="25"/>
        <v>0</v>
      </c>
      <c r="G24" s="216">
        <f t="shared" si="25"/>
        <v>0</v>
      </c>
      <c r="H24" s="216">
        <f t="shared" si="25"/>
        <v>0</v>
      </c>
      <c r="I24" s="216">
        <f t="shared" si="25"/>
        <v>0</v>
      </c>
      <c r="J24" s="216">
        <f t="shared" si="25"/>
        <v>0</v>
      </c>
      <c r="K24" s="216">
        <f t="shared" si="25"/>
        <v>0</v>
      </c>
      <c r="L24" s="216">
        <f t="shared" si="25"/>
        <v>0</v>
      </c>
      <c r="M24" s="216">
        <f t="shared" si="25"/>
        <v>26.538701299998152</v>
      </c>
      <c r="N24" s="216">
        <f t="shared" si="25"/>
        <v>0</v>
      </c>
      <c r="O24" s="216">
        <f t="shared" si="25"/>
        <v>6.7045027499991363</v>
      </c>
      <c r="P24" s="216">
        <f>+MAX(0,P21-P22-P23)</f>
        <v>2.5297170133964642</v>
      </c>
      <c r="Q24" s="216">
        <f t="shared" ref="Q24:AF24" si="26">+MAX(0,Q21-Q22-Q23)</f>
        <v>36.773758102248664</v>
      </c>
      <c r="R24" s="216">
        <f t="shared" si="26"/>
        <v>37.906039506208273</v>
      </c>
      <c r="S24" s="216">
        <f t="shared" si="26"/>
        <v>38.943982616391089</v>
      </c>
      <c r="T24" s="216">
        <f t="shared" si="26"/>
        <v>39.901300845991727</v>
      </c>
      <c r="U24" s="216">
        <f t="shared" si="26"/>
        <v>40.788972682381967</v>
      </c>
      <c r="V24" s="216">
        <f t="shared" si="26"/>
        <v>41.615917052707175</v>
      </c>
      <c r="W24" s="216">
        <f t="shared" si="26"/>
        <v>42.389473520888437</v>
      </c>
      <c r="X24" s="216">
        <f t="shared" si="26"/>
        <v>43.115751023444929</v>
      </c>
      <c r="Y24" s="216">
        <f t="shared" si="26"/>
        <v>43.79988591990346</v>
      </c>
      <c r="Z24" s="216">
        <f t="shared" si="26"/>
        <v>44.446236148206893</v>
      </c>
      <c r="AA24" s="216">
        <f t="shared" si="26"/>
        <v>45.058529502336171</v>
      </c>
      <c r="AB24" s="216">
        <f t="shared" si="26"/>
        <v>45.639978404941751</v>
      </c>
      <c r="AC24" s="216">
        <f t="shared" si="26"/>
        <v>45.355104492916034</v>
      </c>
      <c r="AD24" s="216">
        <f t="shared" si="26"/>
        <v>45.875641538669392</v>
      </c>
      <c r="AE24" s="216">
        <f t="shared" si="26"/>
        <v>46.373011234200838</v>
      </c>
      <c r="AF24" s="216">
        <f t="shared" si="26"/>
        <v>46.84907220691116</v>
      </c>
      <c r="AG24" s="216">
        <f>+MAX(0,AG21-AG22-AG23)</f>
        <v>47.305472384262366</v>
      </c>
      <c r="AH24" s="216">
        <f t="shared" ref="AH24:AZ24" si="27">+MAX(0,AH21-AH22-AH23)</f>
        <v>47.743679373692913</v>
      </c>
      <c r="AI24" s="216">
        <f t="shared" si="27"/>
        <v>48.165005589031296</v>
      </c>
      <c r="AJ24" s="216">
        <f t="shared" si="27"/>
        <v>48.570629173047415</v>
      </c>
      <c r="AK24" s="216">
        <f t="shared" si="27"/>
        <v>48.961611529577773</v>
      </c>
      <c r="AL24" s="216">
        <f t="shared" si="27"/>
        <v>49.338912101260036</v>
      </c>
      <c r="AM24" s="216">
        <f t="shared" si="27"/>
        <v>49.70340089440694</v>
      </c>
      <c r="AN24" s="216">
        <f t="shared" si="27"/>
        <v>50.055869149280596</v>
      </c>
      <c r="AO24" s="216">
        <f t="shared" si="27"/>
        <v>50.397038474605466</v>
      </c>
      <c r="AP24" s="216">
        <f t="shared" si="27"/>
        <v>50.727568703101866</v>
      </c>
      <c r="AQ24" s="216">
        <f t="shared" si="27"/>
        <v>51.048064676217422</v>
      </c>
      <c r="AR24" s="216">
        <f t="shared" si="27"/>
        <v>51.359082127896443</v>
      </c>
      <c r="AS24" s="216">
        <f t="shared" si="27"/>
        <v>51.661132806673351</v>
      </c>
      <c r="AT24" s="216">
        <f t="shared" si="27"/>
        <v>51.954688950928727</v>
      </c>
      <c r="AU24" s="216">
        <f t="shared" si="27"/>
        <v>52.240187212573971</v>
      </c>
      <c r="AV24" s="216">
        <f t="shared" si="27"/>
        <v>52.518032108410921</v>
      </c>
      <c r="AW24" s="216">
        <f t="shared" si="27"/>
        <v>52.788599065536346</v>
      </c>
      <c r="AX24" s="216">
        <f t="shared" si="27"/>
        <v>53.052237116536418</v>
      </c>
      <c r="AY24" s="216">
        <f t="shared" si="27"/>
        <v>53.30927129153207</v>
      </c>
      <c r="AZ24" s="268">
        <f t="shared" si="27"/>
        <v>53.560004746906145</v>
      </c>
    </row>
    <row r="25" spans="1:52" ht="15.75" thickBot="1" x14ac:dyDescent="0.3">
      <c r="A25" s="479" t="s">
        <v>211</v>
      </c>
      <c r="B25" s="480"/>
      <c r="C25" s="269">
        <f>365*24</f>
        <v>8760</v>
      </c>
      <c r="D25" s="546">
        <f t="shared" ref="D25:AB25" si="28">365*24</f>
        <v>8760</v>
      </c>
      <c r="E25" s="221">
        <f t="shared" si="28"/>
        <v>8760</v>
      </c>
      <c r="F25" s="221">
        <f t="shared" si="28"/>
        <v>8760</v>
      </c>
      <c r="G25" s="221">
        <f t="shared" si="28"/>
        <v>8760</v>
      </c>
      <c r="H25" s="221">
        <f t="shared" si="28"/>
        <v>8760</v>
      </c>
      <c r="I25" s="221">
        <f t="shared" si="28"/>
        <v>8760</v>
      </c>
      <c r="J25" s="221">
        <f t="shared" si="28"/>
        <v>8760</v>
      </c>
      <c r="K25" s="221">
        <f t="shared" si="28"/>
        <v>8760</v>
      </c>
      <c r="L25" s="221">
        <f t="shared" si="28"/>
        <v>8760</v>
      </c>
      <c r="M25" s="221">
        <f t="shared" si="28"/>
        <v>8760</v>
      </c>
      <c r="N25" s="221">
        <f t="shared" si="28"/>
        <v>8760</v>
      </c>
      <c r="O25" s="221">
        <f t="shared" si="28"/>
        <v>8760</v>
      </c>
      <c r="P25" s="221">
        <f t="shared" si="28"/>
        <v>8760</v>
      </c>
      <c r="Q25" s="221">
        <f t="shared" si="28"/>
        <v>8760</v>
      </c>
      <c r="R25" s="221">
        <f t="shared" si="28"/>
        <v>8760</v>
      </c>
      <c r="S25" s="221">
        <f t="shared" si="28"/>
        <v>8760</v>
      </c>
      <c r="T25" s="221">
        <f t="shared" si="28"/>
        <v>8760</v>
      </c>
      <c r="U25" s="221">
        <f t="shared" si="28"/>
        <v>8760</v>
      </c>
      <c r="V25" s="221">
        <f t="shared" si="28"/>
        <v>8760</v>
      </c>
      <c r="W25" s="221">
        <f t="shared" si="28"/>
        <v>8760</v>
      </c>
      <c r="X25" s="221">
        <f t="shared" si="28"/>
        <v>8760</v>
      </c>
      <c r="Y25" s="221">
        <f t="shared" si="28"/>
        <v>8760</v>
      </c>
      <c r="Z25" s="221">
        <f t="shared" si="28"/>
        <v>8760</v>
      </c>
      <c r="AA25" s="221">
        <f t="shared" si="28"/>
        <v>8760</v>
      </c>
      <c r="AB25" s="221">
        <f t="shared" si="28"/>
        <v>8760</v>
      </c>
      <c r="AC25" s="221">
        <f t="shared" ref="AC25:AZ25" si="29">30*12*24</f>
        <v>8640</v>
      </c>
      <c r="AD25" s="221">
        <f t="shared" si="29"/>
        <v>8640</v>
      </c>
      <c r="AE25" s="221">
        <f t="shared" si="29"/>
        <v>8640</v>
      </c>
      <c r="AF25" s="221">
        <f t="shared" si="29"/>
        <v>8640</v>
      </c>
      <c r="AG25" s="221">
        <f t="shared" si="29"/>
        <v>8640</v>
      </c>
      <c r="AH25" s="221">
        <f t="shared" si="29"/>
        <v>8640</v>
      </c>
      <c r="AI25" s="221">
        <f t="shared" si="29"/>
        <v>8640</v>
      </c>
      <c r="AJ25" s="221">
        <f t="shared" si="29"/>
        <v>8640</v>
      </c>
      <c r="AK25" s="221">
        <f t="shared" si="29"/>
        <v>8640</v>
      </c>
      <c r="AL25" s="221">
        <f t="shared" si="29"/>
        <v>8640</v>
      </c>
      <c r="AM25" s="221">
        <f t="shared" si="29"/>
        <v>8640</v>
      </c>
      <c r="AN25" s="221">
        <f t="shared" si="29"/>
        <v>8640</v>
      </c>
      <c r="AO25" s="221">
        <f t="shared" si="29"/>
        <v>8640</v>
      </c>
      <c r="AP25" s="221">
        <f t="shared" si="29"/>
        <v>8640</v>
      </c>
      <c r="AQ25" s="221">
        <f t="shared" si="29"/>
        <v>8640</v>
      </c>
      <c r="AR25" s="221">
        <f t="shared" si="29"/>
        <v>8640</v>
      </c>
      <c r="AS25" s="221">
        <f t="shared" si="29"/>
        <v>8640</v>
      </c>
      <c r="AT25" s="221">
        <f t="shared" si="29"/>
        <v>8640</v>
      </c>
      <c r="AU25" s="221">
        <f t="shared" si="29"/>
        <v>8640</v>
      </c>
      <c r="AV25" s="221">
        <f t="shared" si="29"/>
        <v>8640</v>
      </c>
      <c r="AW25" s="221">
        <f t="shared" si="29"/>
        <v>8640</v>
      </c>
      <c r="AX25" s="221">
        <f t="shared" si="29"/>
        <v>8640</v>
      </c>
      <c r="AY25" s="221">
        <f t="shared" si="29"/>
        <v>8640</v>
      </c>
      <c r="AZ25" s="222">
        <f t="shared" si="29"/>
        <v>8640</v>
      </c>
    </row>
    <row r="26" spans="1:52" ht="15.75" thickBot="1" x14ac:dyDescent="0.3">
      <c r="A26" s="481"/>
      <c r="B26" s="482"/>
      <c r="E26" s="2"/>
    </row>
    <row r="27" spans="1:52" x14ac:dyDescent="0.25">
      <c r="A27" s="483" t="s">
        <v>40</v>
      </c>
      <c r="B27" s="484"/>
      <c r="C27" s="167">
        <v>1873.77</v>
      </c>
      <c r="D27" s="551">
        <v>2229.1799999999998</v>
      </c>
      <c r="E27" s="157">
        <v>2291.1799999999998</v>
      </c>
      <c r="F27" s="157">
        <v>2864.79</v>
      </c>
      <c r="G27" s="157">
        <v>2778.21</v>
      </c>
      <c r="H27" s="157">
        <v>2389.75</v>
      </c>
      <c r="I27" s="157">
        <v>2284.2199999999998</v>
      </c>
      <c r="J27" s="157">
        <v>2238.79</v>
      </c>
      <c r="K27" s="157">
        <v>2014.76</v>
      </c>
      <c r="L27" s="157">
        <v>2243.59</v>
      </c>
      <c r="M27" s="157">
        <v>2044.23</v>
      </c>
      <c r="N27" s="157">
        <v>1913.98</v>
      </c>
      <c r="O27" s="157">
        <v>1942.7</v>
      </c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8"/>
    </row>
    <row r="28" spans="1:52" x14ac:dyDescent="0.25">
      <c r="A28" s="485" t="s">
        <v>124</v>
      </c>
      <c r="B28" s="486"/>
      <c r="C28" s="110">
        <v>0.12707030181135615</v>
      </c>
      <c r="D28" s="552">
        <v>0.11037796244808074</v>
      </c>
      <c r="E28" s="65">
        <v>6.9314831552369727E-2</v>
      </c>
      <c r="F28" s="65">
        <v>9.2804517672554709E-2</v>
      </c>
      <c r="G28" s="65">
        <v>5.7237211397626275E-2</v>
      </c>
      <c r="H28" s="65">
        <v>4.6404408001677444E-2</v>
      </c>
      <c r="I28" s="65">
        <v>2.0681259964665744E-2</v>
      </c>
      <c r="J28" s="65">
        <v>5.5413423847308296E-2</v>
      </c>
      <c r="K28" s="65">
        <v>1.2718241646591411E-2</v>
      </c>
      <c r="L28" s="65">
        <v>8.9958615541241738E-2</v>
      </c>
      <c r="M28" s="65">
        <v>-2.1833665519115697E-2</v>
      </c>
      <c r="N28" s="65">
        <v>4.3715846994535568E-2</v>
      </c>
      <c r="O28" s="65">
        <v>5.2001064868222535E-2</v>
      </c>
      <c r="P28" s="65">
        <v>0.03</v>
      </c>
      <c r="Q28" s="65">
        <v>0.03</v>
      </c>
      <c r="R28" s="65">
        <v>0.03</v>
      </c>
      <c r="S28" s="65">
        <v>0.03</v>
      </c>
      <c r="T28" s="65">
        <v>0.03</v>
      </c>
      <c r="U28" s="65">
        <v>0.03</v>
      </c>
      <c r="V28" s="65">
        <v>0.03</v>
      </c>
      <c r="W28" s="65">
        <v>0.03</v>
      </c>
      <c r="X28" s="65">
        <v>0.03</v>
      </c>
      <c r="Y28" s="65">
        <v>0.03</v>
      </c>
      <c r="Z28" s="65">
        <v>0.03</v>
      </c>
      <c r="AA28" s="65">
        <v>0.03</v>
      </c>
      <c r="AB28" s="65">
        <v>0.03</v>
      </c>
      <c r="AC28" s="65">
        <v>0.03</v>
      </c>
      <c r="AD28" s="65">
        <v>0.03</v>
      </c>
      <c r="AE28" s="65">
        <v>0.03</v>
      </c>
      <c r="AF28" s="65">
        <v>0.03</v>
      </c>
      <c r="AG28" s="65">
        <v>0.03</v>
      </c>
      <c r="AH28" s="65">
        <v>0.03</v>
      </c>
      <c r="AI28" s="65">
        <v>0.03</v>
      </c>
      <c r="AJ28" s="65">
        <v>0.03</v>
      </c>
      <c r="AK28" s="65">
        <v>0.03</v>
      </c>
      <c r="AL28" s="65">
        <v>0.03</v>
      </c>
      <c r="AM28" s="65">
        <v>0.03</v>
      </c>
      <c r="AN28" s="65">
        <v>0.03</v>
      </c>
      <c r="AO28" s="65">
        <v>0.03</v>
      </c>
      <c r="AP28" s="65">
        <v>0.03</v>
      </c>
      <c r="AQ28" s="65">
        <v>0.03</v>
      </c>
      <c r="AR28" s="65">
        <v>0.03</v>
      </c>
      <c r="AS28" s="65">
        <v>0.03</v>
      </c>
      <c r="AT28" s="65">
        <v>0.03</v>
      </c>
      <c r="AU28" s="65">
        <v>0.03</v>
      </c>
      <c r="AV28" s="65">
        <v>0.03</v>
      </c>
      <c r="AW28" s="65">
        <v>0.03</v>
      </c>
      <c r="AX28" s="65">
        <v>0.03</v>
      </c>
      <c r="AY28" s="65">
        <v>0.03</v>
      </c>
      <c r="AZ28" s="159">
        <v>0.03</v>
      </c>
    </row>
    <row r="29" spans="1:52" x14ac:dyDescent="0.25">
      <c r="A29" s="485" t="s">
        <v>125</v>
      </c>
      <c r="B29" s="486"/>
      <c r="C29" s="110">
        <v>9.2316999999999982E-2</v>
      </c>
      <c r="D29" s="552">
        <v>8.7504817740637675E-2</v>
      </c>
      <c r="E29" s="65">
        <v>7.6440735752167699E-2</v>
      </c>
      <c r="F29" s="65">
        <v>6.9911452138706309E-2</v>
      </c>
      <c r="G29" s="65">
        <v>6.4907535998830479E-2</v>
      </c>
      <c r="H29" s="65">
        <v>5.4979751527215237E-2</v>
      </c>
      <c r="I29" s="65">
        <v>4.8536109303838781E-2</v>
      </c>
      <c r="J29" s="65">
        <v>4.4802264829982841E-2</v>
      </c>
      <c r="K29" s="65">
        <v>5.6952417358623331E-2</v>
      </c>
      <c r="L29" s="65">
        <v>7.6698319941563176E-2</v>
      </c>
      <c r="M29" s="65">
        <v>2.0000000000000018E-2</v>
      </c>
      <c r="N29" s="65">
        <v>3.1764705882352917E-2</v>
      </c>
      <c r="O29" s="65">
        <v>3.7343215507411598E-2</v>
      </c>
      <c r="P29" s="65">
        <v>3.2000000000000001E-2</v>
      </c>
      <c r="Q29" s="65">
        <v>3.2000000000000001E-2</v>
      </c>
      <c r="R29" s="65">
        <v>3.2000000000000001E-2</v>
      </c>
      <c r="S29" s="65">
        <v>3.2000000000000001E-2</v>
      </c>
      <c r="T29" s="65">
        <v>3.2000000000000001E-2</v>
      </c>
      <c r="U29" s="65">
        <v>3.2000000000000001E-2</v>
      </c>
      <c r="V29" s="65">
        <v>3.2000000000000001E-2</v>
      </c>
      <c r="W29" s="65">
        <v>3.2000000000000001E-2</v>
      </c>
      <c r="X29" s="65">
        <v>3.2000000000000001E-2</v>
      </c>
      <c r="Y29" s="65">
        <v>3.2000000000000001E-2</v>
      </c>
      <c r="Z29" s="65">
        <v>3.2000000000000001E-2</v>
      </c>
      <c r="AA29" s="65">
        <v>3.2000000000000001E-2</v>
      </c>
      <c r="AB29" s="65">
        <v>3.2000000000000001E-2</v>
      </c>
      <c r="AC29" s="65">
        <v>3.2000000000000001E-2</v>
      </c>
      <c r="AD29" s="65">
        <v>3.2000000000000001E-2</v>
      </c>
      <c r="AE29" s="65">
        <v>3.2000000000000001E-2</v>
      </c>
      <c r="AF29" s="65">
        <v>3.2000000000000001E-2</v>
      </c>
      <c r="AG29" s="65">
        <v>3.2000000000000001E-2</v>
      </c>
      <c r="AH29" s="65">
        <v>3.2000000000000001E-2</v>
      </c>
      <c r="AI29" s="65">
        <v>3.2000000000000001E-2</v>
      </c>
      <c r="AJ29" s="65">
        <v>3.2000000000000001E-2</v>
      </c>
      <c r="AK29" s="65">
        <v>3.2000000000000001E-2</v>
      </c>
      <c r="AL29" s="65">
        <v>3.2000000000000001E-2</v>
      </c>
      <c r="AM29" s="65">
        <v>3.2000000000000001E-2</v>
      </c>
      <c r="AN29" s="65">
        <v>3.2000000000000001E-2</v>
      </c>
      <c r="AO29" s="65">
        <v>3.2000000000000001E-2</v>
      </c>
      <c r="AP29" s="65">
        <v>3.2000000000000001E-2</v>
      </c>
      <c r="AQ29" s="65">
        <v>3.2000000000000001E-2</v>
      </c>
      <c r="AR29" s="65">
        <v>3.2000000000000001E-2</v>
      </c>
      <c r="AS29" s="65">
        <v>3.2000000000000001E-2</v>
      </c>
      <c r="AT29" s="65">
        <v>3.2000000000000001E-2</v>
      </c>
      <c r="AU29" s="65">
        <v>3.2000000000000001E-2</v>
      </c>
      <c r="AV29" s="65">
        <v>3.2000000000000001E-2</v>
      </c>
      <c r="AW29" s="65">
        <v>3.2000000000000001E-2</v>
      </c>
      <c r="AX29" s="65">
        <v>3.2000000000000001E-2</v>
      </c>
      <c r="AY29" s="65">
        <v>3.2000000000000001E-2</v>
      </c>
      <c r="AZ29" s="159">
        <v>3.2000000000000001E-2</v>
      </c>
    </row>
    <row r="30" spans="1:52" ht="15.75" thickBot="1" x14ac:dyDescent="0.3">
      <c r="A30" s="487" t="s">
        <v>623</v>
      </c>
      <c r="B30" s="488"/>
      <c r="C30" s="168">
        <v>1</v>
      </c>
      <c r="D30" s="553">
        <f>+C30*(1+D28)</f>
        <v>1.1103779624480807</v>
      </c>
      <c r="E30" s="160">
        <f>+D30*(1+E28)</f>
        <v>1.1873436238746329</v>
      </c>
      <c r="F30" s="160">
        <f t="shared" ref="F30:AG30" si="30">+E30*(1+F28)</f>
        <v>1.2975344761999015</v>
      </c>
      <c r="G30" s="160">
        <f t="shared" si="30"/>
        <v>1.3718017313098636</v>
      </c>
      <c r="H30" s="160">
        <f t="shared" si="30"/>
        <v>1.435459378546974</v>
      </c>
      <c r="I30" s="160">
        <f t="shared" si="30"/>
        <v>1.4651464871234214</v>
      </c>
      <c r="J30" s="160">
        <f t="shared" si="30"/>
        <v>1.5463352704127864</v>
      </c>
      <c r="K30" s="160">
        <f t="shared" si="30"/>
        <v>1.5660019360485435</v>
      </c>
      <c r="L30" s="160">
        <f t="shared" si="30"/>
        <v>1.7068773021503747</v>
      </c>
      <c r="M30" s="160">
        <f t="shared" si="30"/>
        <v>1.6696099140530529</v>
      </c>
      <c r="N30" s="160">
        <f t="shared" si="30"/>
        <v>1.742598325596356</v>
      </c>
      <c r="O30" s="160">
        <f t="shared" si="30"/>
        <v>1.833215294164948</v>
      </c>
      <c r="P30" s="160">
        <f t="shared" si="30"/>
        <v>1.8882117529898965</v>
      </c>
      <c r="Q30" s="160">
        <f t="shared" si="30"/>
        <v>1.9448581055795935</v>
      </c>
      <c r="R30" s="160">
        <f t="shared" si="30"/>
        <v>2.0032038487469812</v>
      </c>
      <c r="S30" s="160">
        <f t="shared" si="30"/>
        <v>2.0632999642093908</v>
      </c>
      <c r="T30" s="160">
        <f t="shared" si="30"/>
        <v>2.1251989631356727</v>
      </c>
      <c r="U30" s="160">
        <f t="shared" si="30"/>
        <v>2.188954932029743</v>
      </c>
      <c r="V30" s="160">
        <f t="shared" si="30"/>
        <v>2.2546235799906356</v>
      </c>
      <c r="W30" s="160">
        <f t="shared" si="30"/>
        <v>2.3222622873903549</v>
      </c>
      <c r="X30" s="160">
        <f t="shared" si="30"/>
        <v>2.3919301560120658</v>
      </c>
      <c r="Y30" s="160">
        <f t="shared" si="30"/>
        <v>2.4636880606924279</v>
      </c>
      <c r="Z30" s="160">
        <f t="shared" si="30"/>
        <v>2.537598702513201</v>
      </c>
      <c r="AA30" s="160">
        <f t="shared" si="30"/>
        <v>2.6137266635885972</v>
      </c>
      <c r="AB30" s="160">
        <f>+AA30*(1+AB28)</f>
        <v>2.6921384634962551</v>
      </c>
      <c r="AC30" s="160">
        <f t="shared" si="30"/>
        <v>2.7729026174011429</v>
      </c>
      <c r="AD30" s="160">
        <f t="shared" si="30"/>
        <v>2.8560896959231772</v>
      </c>
      <c r="AE30" s="160">
        <f t="shared" si="30"/>
        <v>2.9417723868008725</v>
      </c>
      <c r="AF30" s="160">
        <f t="shared" si="30"/>
        <v>3.030025558404899</v>
      </c>
      <c r="AG30" s="160">
        <f t="shared" si="30"/>
        <v>3.120926325157046</v>
      </c>
      <c r="AH30" s="160">
        <f t="shared" ref="AH30:AZ30" si="31">+AG30*(1+AH28)</f>
        <v>3.2145541149117576</v>
      </c>
      <c r="AI30" s="160">
        <f t="shared" si="31"/>
        <v>3.3109907383591102</v>
      </c>
      <c r="AJ30" s="160">
        <f t="shared" si="31"/>
        <v>3.4103204605098836</v>
      </c>
      <c r="AK30" s="160">
        <f t="shared" si="31"/>
        <v>3.5126300743251804</v>
      </c>
      <c r="AL30" s="160">
        <f t="shared" si="31"/>
        <v>3.6180089765549357</v>
      </c>
      <c r="AM30" s="160">
        <f t="shared" si="31"/>
        <v>3.7265492458515839</v>
      </c>
      <c r="AN30" s="160">
        <f t="shared" si="31"/>
        <v>3.8383457232271314</v>
      </c>
      <c r="AO30" s="160">
        <f t="shared" si="31"/>
        <v>3.9534960949239455</v>
      </c>
      <c r="AP30" s="160">
        <f t="shared" si="31"/>
        <v>4.0721009777716644</v>
      </c>
      <c r="AQ30" s="160">
        <f t="shared" si="31"/>
        <v>4.1942640071048141</v>
      </c>
      <c r="AR30" s="160">
        <f t="shared" si="31"/>
        <v>4.320091927317959</v>
      </c>
      <c r="AS30" s="160">
        <f t="shared" si="31"/>
        <v>4.4496946851374979</v>
      </c>
      <c r="AT30" s="160">
        <f t="shared" si="31"/>
        <v>4.583185525691623</v>
      </c>
      <c r="AU30" s="160">
        <f t="shared" si="31"/>
        <v>4.7206810914623718</v>
      </c>
      <c r="AV30" s="160">
        <f t="shared" si="31"/>
        <v>4.8623015242062433</v>
      </c>
      <c r="AW30" s="160">
        <f t="shared" si="31"/>
        <v>5.0081705699324308</v>
      </c>
      <c r="AX30" s="160">
        <f t="shared" si="31"/>
        <v>5.1584156870304039</v>
      </c>
      <c r="AY30" s="160">
        <f t="shared" si="31"/>
        <v>5.3131681576413161</v>
      </c>
      <c r="AZ30" s="161">
        <f t="shared" si="31"/>
        <v>5.4725632023705559</v>
      </c>
    </row>
    <row r="31" spans="1:52" x14ac:dyDescent="0.25">
      <c r="A31" s="489"/>
      <c r="B31" s="482"/>
      <c r="C31" s="156"/>
      <c r="D31" s="554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</row>
    <row r="32" spans="1:52" x14ac:dyDescent="0.25">
      <c r="A32" s="489"/>
      <c r="B32" s="482"/>
      <c r="C32" s="156"/>
      <c r="D32" s="554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</row>
    <row r="33" spans="1:52" ht="15.75" thickBot="1" x14ac:dyDescent="0.3">
      <c r="A33" s="490" t="s">
        <v>86</v>
      </c>
      <c r="D33" s="555"/>
      <c r="E33" s="22"/>
      <c r="F33" s="1"/>
      <c r="G33" s="1"/>
      <c r="H33" s="1"/>
    </row>
    <row r="34" spans="1:52" x14ac:dyDescent="0.25">
      <c r="A34" s="491" t="s">
        <v>624</v>
      </c>
      <c r="B34" s="492"/>
      <c r="C34" s="321"/>
      <c r="D34" s="556">
        <f>D8*0.03</f>
        <v>69948760.177642569</v>
      </c>
      <c r="E34" s="320">
        <f t="shared" ref="E34:AZ34" si="32">E8*0.03</f>
        <v>82406254.639008582</v>
      </c>
      <c r="F34" s="320">
        <f t="shared" si="32"/>
        <v>98206189.160958022</v>
      </c>
      <c r="G34" s="320">
        <f t="shared" si="32"/>
        <v>119125853.72540572</v>
      </c>
      <c r="H34" s="320">
        <f t="shared" si="32"/>
        <v>113768323.57158144</v>
      </c>
      <c r="I34" s="320">
        <f t="shared" si="32"/>
        <v>102615389.2994861</v>
      </c>
      <c r="J34" s="320">
        <f t="shared" si="32"/>
        <v>110038110.94493689</v>
      </c>
      <c r="K34" s="320">
        <f t="shared" si="32"/>
        <v>98222351.587070122</v>
      </c>
      <c r="L34" s="320">
        <f t="shared" si="32"/>
        <v>101284408.16788882</v>
      </c>
      <c r="M34" s="320">
        <f t="shared" si="32"/>
        <v>108647948.62129778</v>
      </c>
      <c r="N34" s="320">
        <f t="shared" si="32"/>
        <v>99808534.0845505</v>
      </c>
      <c r="O34" s="320">
        <f t="shared" si="32"/>
        <v>103399072.22013594</v>
      </c>
      <c r="P34" s="320">
        <f t="shared" si="32"/>
        <v>120015915.59428385</v>
      </c>
      <c r="Q34" s="320">
        <f t="shared" si="32"/>
        <v>125297418.53464486</v>
      </c>
      <c r="R34" s="320">
        <f t="shared" si="32"/>
        <v>132928031.32340471</v>
      </c>
      <c r="S34" s="320">
        <f t="shared" si="32"/>
        <v>141023348.43100005</v>
      </c>
      <c r="T34" s="320">
        <f t="shared" si="32"/>
        <v>149611670.35044795</v>
      </c>
      <c r="U34" s="320">
        <f t="shared" si="32"/>
        <v>158723021.07479024</v>
      </c>
      <c r="V34" s="320">
        <f t="shared" si="32"/>
        <v>168389253.05824491</v>
      </c>
      <c r="W34" s="320">
        <f t="shared" si="32"/>
        <v>178644158.56949204</v>
      </c>
      <c r="X34" s="320">
        <f t="shared" si="32"/>
        <v>189523587.82637411</v>
      </c>
      <c r="Y34" s="320">
        <f t="shared" si="32"/>
        <v>201065574.32500026</v>
      </c>
      <c r="Z34" s="320">
        <f t="shared" si="32"/>
        <v>213310467.80139276</v>
      </c>
      <c r="AA34" s="320">
        <f t="shared" si="32"/>
        <v>226301075.2904976</v>
      </c>
      <c r="AB34" s="320">
        <f t="shared" si="32"/>
        <v>240082810.77568892</v>
      </c>
      <c r="AC34" s="320">
        <f t="shared" si="32"/>
        <v>254703853.95192835</v>
      </c>
      <c r="AD34" s="320">
        <f t="shared" si="32"/>
        <v>270215318.65760076</v>
      </c>
      <c r="AE34" s="320">
        <f t="shared" si="32"/>
        <v>286671431.56384867</v>
      </c>
      <c r="AF34" s="320">
        <f t="shared" si="32"/>
        <v>304129721.74608707</v>
      </c>
      <c r="AG34" s="320">
        <f t="shared" si="32"/>
        <v>322651221.8004238</v>
      </c>
      <c r="AH34" s="320">
        <f t="shared" si="32"/>
        <v>342300681.20806956</v>
      </c>
      <c r="AI34" s="320">
        <f t="shared" si="32"/>
        <v>363146792.69364095</v>
      </c>
      <c r="AJ34" s="320">
        <f t="shared" si="32"/>
        <v>385262432.36868376</v>
      </c>
      <c r="AK34" s="320">
        <f t="shared" si="32"/>
        <v>408724914.49993658</v>
      </c>
      <c r="AL34" s="320">
        <f t="shared" si="32"/>
        <v>433616261.79298264</v>
      </c>
      <c r="AM34" s="320">
        <f t="shared" si="32"/>
        <v>460023492.13617527</v>
      </c>
      <c r="AN34" s="320">
        <f t="shared" si="32"/>
        <v>488038922.80726838</v>
      </c>
      <c r="AO34" s="320">
        <f t="shared" si="32"/>
        <v>517760493.206231</v>
      </c>
      <c r="AP34" s="320">
        <f t="shared" si="32"/>
        <v>549292107.24249041</v>
      </c>
      <c r="AQ34" s="320">
        <f t="shared" si="32"/>
        <v>582743996.57355809</v>
      </c>
      <c r="AR34" s="320">
        <f t="shared" si="32"/>
        <v>618233105.96488762</v>
      </c>
      <c r="AS34" s="320">
        <f t="shared" si="32"/>
        <v>655883502.1181494</v>
      </c>
      <c r="AT34" s="320">
        <f t="shared" si="32"/>
        <v>695826807.39714468</v>
      </c>
      <c r="AU34" s="320">
        <f t="shared" si="32"/>
        <v>738202659.96763062</v>
      </c>
      <c r="AV34" s="320">
        <f t="shared" si="32"/>
        <v>783159201.95965934</v>
      </c>
      <c r="AW34" s="320">
        <f t="shared" si="32"/>
        <v>830853597.35900247</v>
      </c>
      <c r="AX34" s="320">
        <f t="shared" si="32"/>
        <v>0</v>
      </c>
      <c r="AY34" s="320">
        <f t="shared" si="32"/>
        <v>0</v>
      </c>
      <c r="AZ34" s="320">
        <f t="shared" si="32"/>
        <v>0</v>
      </c>
    </row>
    <row r="35" spans="1:52" x14ac:dyDescent="0.25">
      <c r="A35" s="493" t="s">
        <v>9</v>
      </c>
      <c r="B35" s="494"/>
      <c r="C35" s="322"/>
      <c r="D35" s="557">
        <f>D8*0.07</f>
        <v>163213773.74783266</v>
      </c>
      <c r="E35" s="95">
        <f t="shared" ref="E35:AZ35" si="33">E8*0.07</f>
        <v>192281260.82435337</v>
      </c>
      <c r="F35" s="95">
        <f t="shared" si="33"/>
        <v>229147774.70890206</v>
      </c>
      <c r="G35" s="95">
        <f t="shared" si="33"/>
        <v>277960325.35928005</v>
      </c>
      <c r="H35" s="95">
        <f t="shared" si="33"/>
        <v>265459421.66702342</v>
      </c>
      <c r="I35" s="95">
        <f t="shared" si="33"/>
        <v>239435908.36546758</v>
      </c>
      <c r="J35" s="95">
        <f t="shared" si="33"/>
        <v>256755592.20485276</v>
      </c>
      <c r="K35" s="95">
        <f t="shared" si="33"/>
        <v>229185487.036497</v>
      </c>
      <c r="L35" s="95">
        <f t="shared" si="33"/>
        <v>236330285.72507393</v>
      </c>
      <c r="M35" s="95">
        <f t="shared" si="33"/>
        <v>253511880.1163615</v>
      </c>
      <c r="N35" s="95">
        <f t="shared" si="33"/>
        <v>232886579.53061786</v>
      </c>
      <c r="O35" s="95">
        <f t="shared" si="33"/>
        <v>241264501.84698391</v>
      </c>
      <c r="P35" s="95">
        <f t="shared" si="33"/>
        <v>280037136.38666236</v>
      </c>
      <c r="Q35" s="95">
        <f t="shared" si="33"/>
        <v>292360643.24750471</v>
      </c>
      <c r="R35" s="95">
        <f t="shared" si="33"/>
        <v>310165406.4212777</v>
      </c>
      <c r="S35" s="95">
        <f t="shared" si="33"/>
        <v>329054479.67233354</v>
      </c>
      <c r="T35" s="95">
        <f t="shared" si="33"/>
        <v>349093897.48437864</v>
      </c>
      <c r="U35" s="95">
        <f t="shared" si="33"/>
        <v>370353715.84117728</v>
      </c>
      <c r="V35" s="95">
        <f t="shared" si="33"/>
        <v>392908257.13590491</v>
      </c>
      <c r="W35" s="95">
        <f t="shared" si="33"/>
        <v>416836369.99548155</v>
      </c>
      <c r="X35" s="95">
        <f t="shared" si="33"/>
        <v>442221704.92820632</v>
      </c>
      <c r="Y35" s="95">
        <f t="shared" si="33"/>
        <v>469153006.75833404</v>
      </c>
      <c r="Z35" s="95">
        <f t="shared" si="33"/>
        <v>497724424.86991656</v>
      </c>
      <c r="AA35" s="95">
        <f t="shared" si="33"/>
        <v>528035842.34449446</v>
      </c>
      <c r="AB35" s="95">
        <f t="shared" si="33"/>
        <v>560193225.14327419</v>
      </c>
      <c r="AC35" s="95">
        <f t="shared" si="33"/>
        <v>594308992.55449951</v>
      </c>
      <c r="AD35" s="95">
        <f t="shared" si="33"/>
        <v>630502410.20106852</v>
      </c>
      <c r="AE35" s="95">
        <f t="shared" si="33"/>
        <v>668900006.98231363</v>
      </c>
      <c r="AF35" s="95">
        <f t="shared" si="33"/>
        <v>709636017.40753663</v>
      </c>
      <c r="AG35" s="95">
        <f t="shared" si="33"/>
        <v>752852850.86765563</v>
      </c>
      <c r="AH35" s="95">
        <f t="shared" si="33"/>
        <v>798701589.48549569</v>
      </c>
      <c r="AI35" s="95">
        <f t="shared" si="33"/>
        <v>847342516.28516233</v>
      </c>
      <c r="AJ35" s="95">
        <f t="shared" si="33"/>
        <v>898945675.5269289</v>
      </c>
      <c r="AK35" s="95">
        <f t="shared" si="33"/>
        <v>953691467.16651881</v>
      </c>
      <c r="AL35" s="95">
        <f t="shared" si="33"/>
        <v>1011771277.5169597</v>
      </c>
      <c r="AM35" s="95">
        <f t="shared" si="33"/>
        <v>1073388148.3177425</v>
      </c>
      <c r="AN35" s="95">
        <f t="shared" si="33"/>
        <v>1138757486.550293</v>
      </c>
      <c r="AO35" s="95">
        <f t="shared" si="33"/>
        <v>1208107817.4812057</v>
      </c>
      <c r="AP35" s="95">
        <f t="shared" si="33"/>
        <v>1281681583.5658112</v>
      </c>
      <c r="AQ35" s="95">
        <f t="shared" si="33"/>
        <v>1359735992.0049691</v>
      </c>
      <c r="AR35" s="95">
        <f t="shared" si="33"/>
        <v>1442543913.9180715</v>
      </c>
      <c r="AS35" s="95">
        <f t="shared" si="33"/>
        <v>1530394838.275682</v>
      </c>
      <c r="AT35" s="95">
        <f t="shared" si="33"/>
        <v>1623595883.926671</v>
      </c>
      <c r="AU35" s="95">
        <f t="shared" si="33"/>
        <v>1722472873.2578051</v>
      </c>
      <c r="AV35" s="95">
        <f t="shared" si="33"/>
        <v>1827371471.2392056</v>
      </c>
      <c r="AW35" s="95">
        <f t="shared" si="33"/>
        <v>1938658393.8376727</v>
      </c>
      <c r="AX35" s="95">
        <f t="shared" si="33"/>
        <v>0</v>
      </c>
      <c r="AY35" s="95">
        <f t="shared" si="33"/>
        <v>0</v>
      </c>
      <c r="AZ35" s="95">
        <f t="shared" si="33"/>
        <v>0</v>
      </c>
    </row>
    <row r="36" spans="1:52" x14ac:dyDescent="0.25">
      <c r="A36" s="493" t="s">
        <v>625</v>
      </c>
      <c r="B36" s="494"/>
      <c r="C36" s="322"/>
      <c r="D36" s="558">
        <f>D8*90%</f>
        <v>2098462805.329277</v>
      </c>
      <c r="E36" s="93">
        <f t="shared" ref="E36:AZ36" si="34">E8*90%</f>
        <v>2472187639.1702576</v>
      </c>
      <c r="F36" s="93">
        <f t="shared" si="34"/>
        <v>2946185674.8287406</v>
      </c>
      <c r="G36" s="93">
        <f t="shared" si="34"/>
        <v>3573775611.7621717</v>
      </c>
      <c r="H36" s="93">
        <f t="shared" si="34"/>
        <v>3413049707.1474438</v>
      </c>
      <c r="I36" s="93">
        <f t="shared" si="34"/>
        <v>3078461678.9845829</v>
      </c>
      <c r="J36" s="93">
        <f t="shared" si="34"/>
        <v>3301143328.3481069</v>
      </c>
      <c r="K36" s="93">
        <f t="shared" si="34"/>
        <v>2946670547.6121039</v>
      </c>
      <c r="L36" s="93">
        <f t="shared" si="34"/>
        <v>3038532245.036665</v>
      </c>
      <c r="M36" s="93">
        <f t="shared" si="34"/>
        <v>3259438458.6389337</v>
      </c>
      <c r="N36" s="93">
        <f t="shared" si="34"/>
        <v>2994256022.5365152</v>
      </c>
      <c r="O36" s="93">
        <f t="shared" si="34"/>
        <v>3101972166.6040788</v>
      </c>
      <c r="P36" s="93">
        <f t="shared" si="34"/>
        <v>3600477467.8285155</v>
      </c>
      <c r="Q36" s="93">
        <f t="shared" si="34"/>
        <v>3758922556.0393462</v>
      </c>
      <c r="R36" s="93">
        <f t="shared" si="34"/>
        <v>3987840939.7021418</v>
      </c>
      <c r="S36" s="93">
        <f t="shared" si="34"/>
        <v>4230700452.9300022</v>
      </c>
      <c r="T36" s="93">
        <f t="shared" si="34"/>
        <v>4488350110.5134392</v>
      </c>
      <c r="U36" s="93">
        <f t="shared" si="34"/>
        <v>4761690632.2437077</v>
      </c>
      <c r="V36" s="93">
        <f t="shared" si="34"/>
        <v>5051677591.7473478</v>
      </c>
      <c r="W36" s="93">
        <f t="shared" si="34"/>
        <v>5359324757.0847616</v>
      </c>
      <c r="X36" s="93">
        <f t="shared" si="34"/>
        <v>5685707634.7912235</v>
      </c>
      <c r="Y36" s="93">
        <f t="shared" si="34"/>
        <v>6031967229.7500086</v>
      </c>
      <c r="Z36" s="93">
        <f t="shared" si="34"/>
        <v>6399314034.0417833</v>
      </c>
      <c r="AA36" s="93">
        <f t="shared" si="34"/>
        <v>6789032258.7149286</v>
      </c>
      <c r="AB36" s="93">
        <f t="shared" si="34"/>
        <v>7202484323.270668</v>
      </c>
      <c r="AC36" s="93">
        <f t="shared" si="34"/>
        <v>7641115618.5578508</v>
      </c>
      <c r="AD36" s="93">
        <f t="shared" si="34"/>
        <v>8106459559.7280235</v>
      </c>
      <c r="AE36" s="93">
        <f t="shared" si="34"/>
        <v>8600142946.9154606</v>
      </c>
      <c r="AF36" s="93">
        <f t="shared" si="34"/>
        <v>9123891652.3826122</v>
      </c>
      <c r="AG36" s="93">
        <f t="shared" si="34"/>
        <v>9679536654.0127144</v>
      </c>
      <c r="AH36" s="93">
        <f t="shared" si="34"/>
        <v>10269020436.242086</v>
      </c>
      <c r="AI36" s="93">
        <f t="shared" si="34"/>
        <v>10894403780.809229</v>
      </c>
      <c r="AJ36" s="93">
        <f t="shared" si="34"/>
        <v>11557872971.060513</v>
      </c>
      <c r="AK36" s="93">
        <f t="shared" si="34"/>
        <v>12261747434.998098</v>
      </c>
      <c r="AL36" s="93">
        <f t="shared" si="34"/>
        <v>13008487853.78948</v>
      </c>
      <c r="AM36" s="93">
        <f t="shared" si="34"/>
        <v>13800704764.08526</v>
      </c>
      <c r="AN36" s="93">
        <f t="shared" si="34"/>
        <v>14641167684.218052</v>
      </c>
      <c r="AO36" s="93">
        <f t="shared" si="34"/>
        <v>15532814796.18693</v>
      </c>
      <c r="AP36" s="93">
        <f t="shared" si="34"/>
        <v>16478763217.274714</v>
      </c>
      <c r="AQ36" s="93">
        <f t="shared" si="34"/>
        <v>17482319897.206745</v>
      </c>
      <c r="AR36" s="93">
        <f t="shared" si="34"/>
        <v>18546993178.946632</v>
      </c>
      <c r="AS36" s="93">
        <f t="shared" si="34"/>
        <v>19676505063.544483</v>
      </c>
      <c r="AT36" s="93">
        <f t="shared" si="34"/>
        <v>20874804221.914341</v>
      </c>
      <c r="AU36" s="93">
        <f t="shared" si="34"/>
        <v>22146079799.028923</v>
      </c>
      <c r="AV36" s="93">
        <f t="shared" si="34"/>
        <v>23494776058.789783</v>
      </c>
      <c r="AW36" s="93">
        <f t="shared" si="34"/>
        <v>24925607920.770077</v>
      </c>
      <c r="AX36" s="93">
        <f t="shared" si="34"/>
        <v>0</v>
      </c>
      <c r="AY36" s="93">
        <f t="shared" si="34"/>
        <v>0</v>
      </c>
      <c r="AZ36" s="93">
        <f t="shared" si="34"/>
        <v>0</v>
      </c>
    </row>
    <row r="37" spans="1:52" x14ac:dyDescent="0.25">
      <c r="A37" s="493" t="s">
        <v>626</v>
      </c>
      <c r="B37" s="494"/>
      <c r="C37" s="322"/>
      <c r="D37" s="558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75"/>
    </row>
    <row r="38" spans="1:52" ht="15.75" thickBot="1" x14ac:dyDescent="0.3">
      <c r="A38" s="495" t="s">
        <v>29</v>
      </c>
      <c r="B38" s="496"/>
      <c r="C38" s="323"/>
      <c r="D38" s="559">
        <f>SUM(D34:D36)</f>
        <v>2331625339.2547522</v>
      </c>
      <c r="E38" s="170">
        <f t="shared" ref="E38:AG38" si="35">SUM(E34:E36)</f>
        <v>2746875154.6336193</v>
      </c>
      <c r="F38" s="170">
        <f t="shared" si="35"/>
        <v>3273539638.6986008</v>
      </c>
      <c r="G38" s="170">
        <f t="shared" si="35"/>
        <v>3970861790.8468575</v>
      </c>
      <c r="H38" s="170">
        <f t="shared" si="35"/>
        <v>3792277452.3860488</v>
      </c>
      <c r="I38" s="170">
        <f t="shared" si="35"/>
        <v>3420512976.6495366</v>
      </c>
      <c r="J38" s="170">
        <f t="shared" si="35"/>
        <v>3667937031.4978967</v>
      </c>
      <c r="K38" s="170">
        <f t="shared" si="35"/>
        <v>3274078386.235671</v>
      </c>
      <c r="L38" s="170">
        <f t="shared" si="35"/>
        <v>3376146938.9296279</v>
      </c>
      <c r="M38" s="170">
        <f t="shared" si="35"/>
        <v>3621598287.3765931</v>
      </c>
      <c r="N38" s="170">
        <f t="shared" si="35"/>
        <v>3326951136.1516838</v>
      </c>
      <c r="O38" s="170">
        <f>SUM(O34:O36)</f>
        <v>3446635740.6711988</v>
      </c>
      <c r="P38" s="170">
        <f t="shared" si="35"/>
        <v>4000530519.8094616</v>
      </c>
      <c r="Q38" s="170">
        <f t="shared" si="35"/>
        <v>4176580617.821496</v>
      </c>
      <c r="R38" s="170">
        <f t="shared" si="35"/>
        <v>4430934377.4468241</v>
      </c>
      <c r="S38" s="170">
        <f t="shared" si="35"/>
        <v>4700778281.0333357</v>
      </c>
      <c r="T38" s="170">
        <f t="shared" si="35"/>
        <v>4987055678.3482656</v>
      </c>
      <c r="U38" s="170">
        <f t="shared" si="35"/>
        <v>5290767369.1596756</v>
      </c>
      <c r="V38" s="170">
        <f t="shared" si="35"/>
        <v>5612975101.9414978</v>
      </c>
      <c r="W38" s="170">
        <f t="shared" si="35"/>
        <v>5954805285.6497355</v>
      </c>
      <c r="X38" s="170">
        <f t="shared" si="35"/>
        <v>6317452927.545804</v>
      </c>
      <c r="Y38" s="170">
        <f t="shared" si="35"/>
        <v>6702185810.8333426</v>
      </c>
      <c r="Z38" s="170">
        <f t="shared" si="35"/>
        <v>7110348926.7130928</v>
      </c>
      <c r="AA38" s="170">
        <f t="shared" si="35"/>
        <v>7543369176.3499203</v>
      </c>
      <c r="AB38" s="170">
        <f t="shared" si="35"/>
        <v>8002760359.1896315</v>
      </c>
      <c r="AC38" s="170">
        <f t="shared" si="35"/>
        <v>8490128465.0642786</v>
      </c>
      <c r="AD38" s="170">
        <f t="shared" si="35"/>
        <v>9007177288.5866928</v>
      </c>
      <c r="AE38" s="170">
        <f t="shared" si="35"/>
        <v>9555714385.4616222</v>
      </c>
      <c r="AF38" s="170">
        <f t="shared" si="35"/>
        <v>10137657391.536236</v>
      </c>
      <c r="AG38" s="170">
        <f t="shared" si="35"/>
        <v>10755040726.680794</v>
      </c>
      <c r="AH38" s="170">
        <f t="shared" ref="AH38:AZ38" si="36">SUM(AH34:AH36)</f>
        <v>11410022706.935652</v>
      </c>
      <c r="AI38" s="170">
        <f t="shared" si="36"/>
        <v>12104893089.788033</v>
      </c>
      <c r="AJ38" s="170">
        <f t="shared" si="36"/>
        <v>12842081078.956125</v>
      </c>
      <c r="AK38" s="170">
        <f t="shared" si="36"/>
        <v>13624163816.664555</v>
      </c>
      <c r="AL38" s="170">
        <f t="shared" si="36"/>
        <v>14453875393.099422</v>
      </c>
      <c r="AM38" s="170">
        <f t="shared" si="36"/>
        <v>15334116404.539179</v>
      </c>
      <c r="AN38" s="170">
        <f t="shared" si="36"/>
        <v>16267964093.575613</v>
      </c>
      <c r="AO38" s="170">
        <f t="shared" si="36"/>
        <v>17258683106.874367</v>
      </c>
      <c r="AP38" s="170">
        <f t="shared" si="36"/>
        <v>18309736908.083015</v>
      </c>
      <c r="AQ38" s="170">
        <f t="shared" si="36"/>
        <v>19424799885.785271</v>
      </c>
      <c r="AR38" s="170">
        <f t="shared" si="36"/>
        <v>20607770198.82959</v>
      </c>
      <c r="AS38" s="170">
        <f t="shared" si="36"/>
        <v>21862783403.938316</v>
      </c>
      <c r="AT38" s="170">
        <f t="shared" si="36"/>
        <v>23194226913.238155</v>
      </c>
      <c r="AU38" s="170">
        <f t="shared" si="36"/>
        <v>24606755332.25436</v>
      </c>
      <c r="AV38" s="170">
        <f t="shared" si="36"/>
        <v>26105306731.988647</v>
      </c>
      <c r="AW38" s="170">
        <f t="shared" si="36"/>
        <v>27695119911.966751</v>
      </c>
      <c r="AX38" s="170">
        <f t="shared" si="36"/>
        <v>0</v>
      </c>
      <c r="AY38" s="170">
        <f t="shared" si="36"/>
        <v>0</v>
      </c>
      <c r="AZ38" s="171">
        <f t="shared" si="36"/>
        <v>0</v>
      </c>
    </row>
    <row r="39" spans="1:52" ht="15.75" thickBot="1" x14ac:dyDescent="0.3">
      <c r="A39" s="497"/>
      <c r="B39" s="482"/>
      <c r="C39" s="23"/>
      <c r="D39" s="560"/>
      <c r="E39" s="24"/>
      <c r="F39" s="24"/>
      <c r="G39" s="24"/>
      <c r="H39" s="24"/>
    </row>
    <row r="40" spans="1:52" ht="15.75" thickBot="1" x14ac:dyDescent="0.3">
      <c r="A40" s="498" t="s">
        <v>218</v>
      </c>
      <c r="B40" s="499"/>
      <c r="C40" s="186">
        <f>C5</f>
        <v>70762018612.858673</v>
      </c>
      <c r="D40" s="561">
        <f>D14</f>
        <v>16170672.84</v>
      </c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>
        <f>+IF('F de CP'!A36=1,'Refurbishment SVC'!E55,0)*S27</f>
        <v>0</v>
      </c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3"/>
    </row>
    <row r="41" spans="1:52" ht="15.75" thickBot="1" x14ac:dyDescent="0.3">
      <c r="A41" s="497"/>
      <c r="B41" s="482"/>
      <c r="C41" s="23"/>
      <c r="D41" s="562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</row>
    <row r="42" spans="1:52" x14ac:dyDescent="0.25">
      <c r="A42" s="500" t="s">
        <v>627</v>
      </c>
      <c r="B42" s="501" t="s">
        <v>196</v>
      </c>
      <c r="C42" s="169" t="s">
        <v>197</v>
      </c>
      <c r="D42" s="563" t="s">
        <v>649</v>
      </c>
    </row>
    <row r="43" spans="1:52" x14ac:dyDescent="0.25">
      <c r="A43" s="502" t="s">
        <v>628</v>
      </c>
      <c r="B43" s="503">
        <f>82*35.35-378</f>
        <v>2520.7000000000003</v>
      </c>
      <c r="C43" s="108">
        <v>10935</v>
      </c>
      <c r="D43" s="564">
        <f>+B43*C43</f>
        <v>27563854.500000004</v>
      </c>
    </row>
    <row r="44" spans="1:52" x14ac:dyDescent="0.25">
      <c r="A44" s="502" t="s">
        <v>629</v>
      </c>
      <c r="B44" s="503">
        <v>378</v>
      </c>
      <c r="C44" s="108">
        <f>170748797/B44</f>
        <v>451716.39417989418</v>
      </c>
      <c r="D44" s="564">
        <f>+C44*B44</f>
        <v>170748797</v>
      </c>
    </row>
    <row r="45" spans="1:52" ht="15.75" thickBot="1" x14ac:dyDescent="0.3">
      <c r="A45" s="504" t="s">
        <v>630</v>
      </c>
      <c r="B45" s="505"/>
      <c r="C45" s="184"/>
      <c r="D45" s="565">
        <f>+D43+D44</f>
        <v>198312651.5</v>
      </c>
      <c r="E45" s="119"/>
      <c r="F45" s="119" t="s">
        <v>220</v>
      </c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</row>
    <row r="46" spans="1:52" ht="15.75" thickBot="1" x14ac:dyDescent="0.3">
      <c r="A46" s="506"/>
      <c r="B46" s="482"/>
      <c r="E46" s="98"/>
      <c r="F46" s="98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</row>
    <row r="47" spans="1:52" x14ac:dyDescent="0.25">
      <c r="A47" s="507" t="s">
        <v>102</v>
      </c>
      <c r="B47" s="508">
        <v>1873.77</v>
      </c>
      <c r="C47" s="151">
        <f>+B47</f>
        <v>1873.77</v>
      </c>
      <c r="E47" s="99"/>
      <c r="F47" s="98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</row>
    <row r="48" spans="1:52" x14ac:dyDescent="0.25">
      <c r="A48" s="509" t="s">
        <v>205</v>
      </c>
      <c r="B48" s="510">
        <f>17474600*1.8</f>
        <v>31454280</v>
      </c>
      <c r="C48" s="152"/>
      <c r="E48" s="99"/>
      <c r="F48" s="97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</row>
    <row r="49" spans="1:51" x14ac:dyDescent="0.25">
      <c r="A49" s="509"/>
      <c r="B49" s="510">
        <f>+B47*B48</f>
        <v>58938086235.599998</v>
      </c>
      <c r="C49" s="152"/>
      <c r="E49" s="28"/>
      <c r="F49" s="23"/>
      <c r="G49" s="28"/>
      <c r="H49" s="28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</row>
    <row r="50" spans="1:51" x14ac:dyDescent="0.25">
      <c r="A50" s="509" t="s">
        <v>611</v>
      </c>
      <c r="B50" s="511">
        <f>-PMT(0.09,25,B49)</f>
        <v>6000265572.3866835</v>
      </c>
      <c r="C50" s="153">
        <f>-PMT(0.09,25,C5)</f>
        <v>7204015794.1005325</v>
      </c>
      <c r="E50" s="28"/>
      <c r="F50" s="23"/>
      <c r="G50" s="28"/>
      <c r="H50" s="28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</row>
    <row r="51" spans="1:51" x14ac:dyDescent="0.25">
      <c r="A51" s="509" t="s">
        <v>631</v>
      </c>
      <c r="B51" s="512">
        <f>+B50*5%</f>
        <v>300013278.61933416</v>
      </c>
      <c r="C51" s="154">
        <f>+C50*5%</f>
        <v>360200789.70502663</v>
      </c>
      <c r="E51" s="9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</row>
    <row r="52" spans="1:51" x14ac:dyDescent="0.25">
      <c r="A52" s="509" t="s">
        <v>103</v>
      </c>
      <c r="B52" s="512">
        <f>+B49*2.5%</f>
        <v>1473452155.8900001</v>
      </c>
      <c r="C52" s="154">
        <f>+C5*2.5%</f>
        <v>1769050465.3214669</v>
      </c>
      <c r="E52" s="28"/>
      <c r="F52" s="120"/>
      <c r="G52" s="120"/>
      <c r="H52" s="120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</row>
    <row r="53" spans="1:51" x14ac:dyDescent="0.25">
      <c r="A53" s="509" t="s">
        <v>632</v>
      </c>
      <c r="B53" s="512">
        <v>100000000</v>
      </c>
      <c r="C53" s="154">
        <v>100000000</v>
      </c>
      <c r="E53" s="121"/>
      <c r="F53" s="23"/>
      <c r="G53" s="28"/>
      <c r="H53" s="28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</row>
    <row r="54" spans="1:51" x14ac:dyDescent="0.25">
      <c r="A54" s="509" t="s">
        <v>633</v>
      </c>
      <c r="B54" s="511">
        <f>SUM(B50:B53)</f>
        <v>7873731006.896018</v>
      </c>
      <c r="C54" s="153">
        <f>SUM(C50:C53)</f>
        <v>9433267049.1270256</v>
      </c>
      <c r="E54" s="28"/>
      <c r="F54" s="23"/>
      <c r="G54" s="28"/>
      <c r="H54" s="28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</row>
    <row r="55" spans="1:51" x14ac:dyDescent="0.25">
      <c r="A55" s="513"/>
      <c r="B55" s="482"/>
      <c r="C55" s="152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</row>
    <row r="56" spans="1:51" x14ac:dyDescent="0.25">
      <c r="A56" s="513" t="s">
        <v>104</v>
      </c>
      <c r="B56" s="510">
        <v>104109690000</v>
      </c>
      <c r="C56" s="152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</row>
    <row r="57" spans="1:51" x14ac:dyDescent="0.25">
      <c r="A57" s="513" t="s">
        <v>634</v>
      </c>
      <c r="B57" s="514">
        <f>-PMT(11.5%,30,B56)</f>
        <v>12447780961.023449</v>
      </c>
      <c r="C57" s="152"/>
      <c r="E57" s="97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</row>
    <row r="58" spans="1:51" x14ac:dyDescent="0.25">
      <c r="A58" s="515" t="s">
        <v>105</v>
      </c>
      <c r="B58" s="512">
        <f>+B57*5%</f>
        <v>622389048.05117249</v>
      </c>
      <c r="C58" s="152"/>
      <c r="E58" s="23"/>
      <c r="F58" s="104"/>
      <c r="G58" s="104"/>
      <c r="H58" s="104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</row>
    <row r="59" spans="1:51" x14ac:dyDescent="0.25">
      <c r="A59" s="513" t="s">
        <v>635</v>
      </c>
      <c r="B59" s="510">
        <f>+B56*3.14%</f>
        <v>3269044266.0000005</v>
      </c>
      <c r="C59" s="152"/>
      <c r="E59" s="97"/>
      <c r="F59" s="122"/>
      <c r="G59" s="122"/>
      <c r="H59" s="122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</row>
    <row r="60" spans="1:51" ht="15.75" thickBot="1" x14ac:dyDescent="0.3">
      <c r="A60" s="516" t="s">
        <v>636</v>
      </c>
      <c r="B60" s="517"/>
      <c r="C60" s="155"/>
      <c r="E60" s="97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</row>
    <row r="61" spans="1:51" x14ac:dyDescent="0.25">
      <c r="E61" s="23"/>
      <c r="F61" s="104"/>
      <c r="G61" s="104"/>
      <c r="H61" s="104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</row>
    <row r="62" spans="1:51" ht="15.75" x14ac:dyDescent="0.25">
      <c r="A62" s="518"/>
      <c r="C62" s="30"/>
      <c r="D62" s="482"/>
    </row>
    <row r="63" spans="1:51" ht="15.75" x14ac:dyDescent="0.25">
      <c r="A63" s="518"/>
      <c r="C63" s="30"/>
      <c r="D63" s="482"/>
    </row>
    <row r="64" spans="1:51" ht="15.75" thickBot="1" x14ac:dyDescent="0.3"/>
    <row r="65" spans="1:9" ht="15.75" x14ac:dyDescent="0.25">
      <c r="A65" s="519"/>
      <c r="B65" s="520" t="s">
        <v>170</v>
      </c>
      <c r="C65" s="201">
        <v>2069.0100000000002</v>
      </c>
      <c r="D65" s="566">
        <v>5600</v>
      </c>
      <c r="E65" s="202">
        <v>11586456</v>
      </c>
      <c r="F65" s="201">
        <v>2069.0100000000002</v>
      </c>
      <c r="G65" s="202">
        <v>200000</v>
      </c>
      <c r="H65" s="202">
        <v>413802000</v>
      </c>
      <c r="I65" s="203">
        <v>425388456</v>
      </c>
    </row>
    <row r="66" spans="1:9" ht="15.75" x14ac:dyDescent="0.25">
      <c r="A66" s="521"/>
      <c r="B66" s="522" t="s">
        <v>169</v>
      </c>
      <c r="C66" s="190">
        <v>308.14</v>
      </c>
      <c r="D66" s="567">
        <v>5600</v>
      </c>
      <c r="E66" s="189">
        <v>1725584</v>
      </c>
      <c r="F66" s="190">
        <v>308.14</v>
      </c>
      <c r="G66" s="189">
        <v>50000</v>
      </c>
      <c r="H66" s="189">
        <v>15407000</v>
      </c>
      <c r="I66" s="204">
        <v>17132584</v>
      </c>
    </row>
    <row r="67" spans="1:9" ht="15.75" x14ac:dyDescent="0.25">
      <c r="A67" s="521"/>
      <c r="B67" s="522" t="s">
        <v>172</v>
      </c>
      <c r="C67" s="191"/>
      <c r="D67" s="568"/>
      <c r="E67" s="187"/>
      <c r="F67" s="187"/>
      <c r="G67" s="190"/>
      <c r="H67" s="189">
        <v>23215600</v>
      </c>
      <c r="I67" s="204">
        <v>23215600</v>
      </c>
    </row>
    <row r="68" spans="1:9" ht="31.5" x14ac:dyDescent="0.25">
      <c r="A68" s="521"/>
      <c r="B68" s="522" t="s">
        <v>637</v>
      </c>
      <c r="C68" s="191"/>
      <c r="D68" s="568"/>
      <c r="E68" s="187"/>
      <c r="F68" s="187"/>
      <c r="G68" s="190"/>
      <c r="H68" s="189">
        <v>25272200</v>
      </c>
      <c r="I68" s="204">
        <v>25272200</v>
      </c>
    </row>
    <row r="69" spans="1:9" ht="15.75" x14ac:dyDescent="0.25">
      <c r="A69" s="521"/>
      <c r="B69" s="523" t="s">
        <v>638</v>
      </c>
      <c r="C69" s="191"/>
      <c r="D69" s="568"/>
      <c r="E69" s="187"/>
      <c r="F69" s="187"/>
      <c r="G69" s="190"/>
      <c r="H69" s="189">
        <v>8000000</v>
      </c>
      <c r="I69" s="204">
        <v>8000000</v>
      </c>
    </row>
    <row r="70" spans="1:9" ht="15.75" x14ac:dyDescent="0.25">
      <c r="A70" s="524">
        <v>2.2999999999999998</v>
      </c>
      <c r="B70" s="525" t="s">
        <v>171</v>
      </c>
      <c r="C70" s="191"/>
      <c r="D70" s="568"/>
      <c r="E70" s="187"/>
      <c r="F70" s="187"/>
      <c r="G70" s="190"/>
      <c r="H70" s="187"/>
      <c r="I70" s="205"/>
    </row>
    <row r="71" spans="1:9" s="453" customFormat="1" ht="15.75" x14ac:dyDescent="0.25">
      <c r="A71" s="521"/>
      <c r="B71" s="522" t="s">
        <v>174</v>
      </c>
      <c r="C71" s="568">
        <v>266.7</v>
      </c>
      <c r="D71" s="567">
        <v>5600</v>
      </c>
      <c r="E71" s="567">
        <v>1493520</v>
      </c>
      <c r="F71" s="652"/>
      <c r="G71" s="568"/>
      <c r="H71" s="652"/>
      <c r="I71" s="653">
        <v>1493520</v>
      </c>
    </row>
    <row r="72" spans="1:9" s="453" customFormat="1" ht="15.75" x14ac:dyDescent="0.25">
      <c r="A72" s="521"/>
      <c r="B72" s="525" t="s">
        <v>579</v>
      </c>
      <c r="C72" s="649">
        <v>9443.92</v>
      </c>
      <c r="D72" s="568"/>
      <c r="E72" s="650">
        <v>52885952</v>
      </c>
      <c r="F72" s="650">
        <v>9177</v>
      </c>
      <c r="G72" s="568"/>
      <c r="H72" s="650">
        <v>1308744273</v>
      </c>
      <c r="I72" s="651">
        <v>1361630225</v>
      </c>
    </row>
    <row r="73" spans="1:9" ht="15.75" x14ac:dyDescent="0.25">
      <c r="A73" s="521"/>
      <c r="B73" s="522"/>
      <c r="C73" s="191"/>
      <c r="D73" s="568"/>
      <c r="E73" s="187"/>
      <c r="F73" s="187"/>
      <c r="G73" s="190"/>
      <c r="H73" s="187"/>
      <c r="I73" s="205"/>
    </row>
    <row r="74" spans="1:9" s="453" customFormat="1" ht="15.75" x14ac:dyDescent="0.25">
      <c r="A74" s="526"/>
      <c r="B74" s="525" t="s">
        <v>580</v>
      </c>
      <c r="C74" s="649">
        <v>76144.53</v>
      </c>
      <c r="D74" s="568"/>
      <c r="E74" s="650">
        <v>426409368</v>
      </c>
      <c r="F74" s="650">
        <v>57185</v>
      </c>
      <c r="G74" s="654"/>
      <c r="H74" s="650">
        <v>8281427086</v>
      </c>
      <c r="I74" s="651">
        <v>8707836454</v>
      </c>
    </row>
    <row r="75" spans="1:9" ht="15.75" x14ac:dyDescent="0.25">
      <c r="A75" s="521"/>
      <c r="B75" s="522"/>
      <c r="C75" s="191"/>
      <c r="D75" s="568"/>
      <c r="E75" s="187"/>
      <c r="F75" s="187"/>
      <c r="G75" s="190"/>
      <c r="H75" s="187"/>
      <c r="I75" s="205"/>
    </row>
    <row r="76" spans="1:9" ht="15.75" x14ac:dyDescent="0.25">
      <c r="A76" s="527" t="s">
        <v>175</v>
      </c>
      <c r="B76" s="528" t="s">
        <v>176</v>
      </c>
      <c r="C76" s="191"/>
      <c r="D76" s="568"/>
      <c r="E76" s="187"/>
      <c r="F76" s="187"/>
      <c r="G76" s="190"/>
      <c r="H76" s="187"/>
      <c r="I76" s="205"/>
    </row>
    <row r="77" spans="1:9" ht="15.75" x14ac:dyDescent="0.25">
      <c r="A77" s="524">
        <v>3.1</v>
      </c>
      <c r="B77" s="525" t="s">
        <v>177</v>
      </c>
      <c r="C77" s="187"/>
      <c r="D77" s="568"/>
      <c r="E77" s="187"/>
      <c r="F77" s="187"/>
      <c r="G77" s="187"/>
      <c r="H77" s="187"/>
      <c r="I77" s="205"/>
    </row>
    <row r="78" spans="1:9" ht="15.75" x14ac:dyDescent="0.25">
      <c r="A78" s="521" t="s">
        <v>162</v>
      </c>
      <c r="B78" s="522" t="s">
        <v>639</v>
      </c>
      <c r="C78" s="190">
        <v>826.44</v>
      </c>
      <c r="D78" s="567">
        <v>5600</v>
      </c>
      <c r="E78" s="189">
        <v>4628064</v>
      </c>
      <c r="F78" s="188">
        <v>1652.88</v>
      </c>
      <c r="G78" s="189">
        <v>712000</v>
      </c>
      <c r="H78" s="189">
        <v>1176850560</v>
      </c>
      <c r="I78" s="204">
        <v>1181478624</v>
      </c>
    </row>
    <row r="79" spans="1:9" ht="15.75" x14ac:dyDescent="0.25">
      <c r="A79" s="524">
        <v>3.2</v>
      </c>
      <c r="B79" s="525" t="s">
        <v>168</v>
      </c>
      <c r="C79" s="187"/>
      <c r="D79" s="568"/>
      <c r="E79" s="187"/>
      <c r="F79" s="187"/>
      <c r="G79" s="187"/>
      <c r="H79" s="187"/>
      <c r="I79" s="205"/>
    </row>
    <row r="80" spans="1:9" ht="15.75" x14ac:dyDescent="0.25">
      <c r="A80" s="521" t="s">
        <v>160</v>
      </c>
      <c r="B80" s="522" t="s">
        <v>161</v>
      </c>
      <c r="C80" s="190">
        <v>11.22</v>
      </c>
      <c r="D80" s="567">
        <v>5600</v>
      </c>
      <c r="E80" s="189">
        <v>62832</v>
      </c>
      <c r="F80" s="190">
        <v>11.22</v>
      </c>
      <c r="G80" s="189">
        <v>1042823</v>
      </c>
      <c r="H80" s="189">
        <v>11700478</v>
      </c>
      <c r="I80" s="204">
        <v>11763310</v>
      </c>
    </row>
    <row r="81" spans="1:9" ht="15.75" x14ac:dyDescent="0.25">
      <c r="A81" s="521" t="s">
        <v>163</v>
      </c>
      <c r="B81" s="522" t="s">
        <v>164</v>
      </c>
      <c r="C81" s="190">
        <v>236.52</v>
      </c>
      <c r="D81" s="567">
        <v>5600</v>
      </c>
      <c r="E81" s="189">
        <v>1324512</v>
      </c>
      <c r="F81" s="190">
        <v>236.52</v>
      </c>
      <c r="G81" s="189">
        <v>633619</v>
      </c>
      <c r="H81" s="189">
        <v>149863678</v>
      </c>
      <c r="I81" s="204">
        <v>151188190</v>
      </c>
    </row>
    <row r="82" spans="1:9" ht="15.75" x14ac:dyDescent="0.25">
      <c r="A82" s="521" t="s">
        <v>165</v>
      </c>
      <c r="B82" s="522" t="s">
        <v>640</v>
      </c>
      <c r="C82" s="190">
        <v>32.99</v>
      </c>
      <c r="D82" s="567">
        <v>5600</v>
      </c>
      <c r="E82" s="189">
        <v>184744</v>
      </c>
      <c r="F82" s="190">
        <v>32.99</v>
      </c>
      <c r="G82" s="189">
        <v>362458</v>
      </c>
      <c r="H82" s="189">
        <v>11957487</v>
      </c>
      <c r="I82" s="204">
        <v>12142231</v>
      </c>
    </row>
    <row r="83" spans="1:9" ht="15.75" x14ac:dyDescent="0.25">
      <c r="A83" s="521" t="s">
        <v>166</v>
      </c>
      <c r="B83" s="522" t="s">
        <v>641</v>
      </c>
      <c r="C83" s="190">
        <v>157.47999999999999</v>
      </c>
      <c r="D83" s="567">
        <v>5600</v>
      </c>
      <c r="E83" s="189">
        <v>881888</v>
      </c>
      <c r="F83" s="190">
        <v>157.47999999999999</v>
      </c>
      <c r="G83" s="189">
        <v>479994</v>
      </c>
      <c r="H83" s="189">
        <v>75589424</v>
      </c>
      <c r="I83" s="204">
        <v>76471312</v>
      </c>
    </row>
    <row r="84" spans="1:9" ht="15.75" x14ac:dyDescent="0.25">
      <c r="A84" s="521" t="s">
        <v>167</v>
      </c>
      <c r="B84" s="522" t="s">
        <v>642</v>
      </c>
      <c r="C84" s="190">
        <v>177.71</v>
      </c>
      <c r="D84" s="567">
        <v>5600</v>
      </c>
      <c r="E84" s="189">
        <v>995176</v>
      </c>
      <c r="F84" s="190">
        <v>177.71</v>
      </c>
      <c r="G84" s="189">
        <v>182844</v>
      </c>
      <c r="H84" s="189">
        <v>32493173</v>
      </c>
      <c r="I84" s="204">
        <v>33488349</v>
      </c>
    </row>
    <row r="85" spans="1:9" ht="15.75" x14ac:dyDescent="0.25">
      <c r="A85" s="521" t="s">
        <v>178</v>
      </c>
      <c r="B85" s="522" t="s">
        <v>643</v>
      </c>
      <c r="C85" s="190">
        <v>31.62</v>
      </c>
      <c r="D85" s="567">
        <v>5600</v>
      </c>
      <c r="E85" s="189">
        <v>177072</v>
      </c>
      <c r="F85" s="190">
        <v>31.62</v>
      </c>
      <c r="G85" s="189">
        <v>946282</v>
      </c>
      <c r="H85" s="189">
        <v>29921435</v>
      </c>
      <c r="I85" s="204">
        <v>30098507</v>
      </c>
    </row>
    <row r="86" spans="1:9" ht="15.75" x14ac:dyDescent="0.25">
      <c r="A86" s="521" t="s">
        <v>180</v>
      </c>
      <c r="B86" s="522" t="s">
        <v>181</v>
      </c>
      <c r="C86" s="190">
        <v>6.36</v>
      </c>
      <c r="D86" s="567">
        <v>5600</v>
      </c>
      <c r="E86" s="189">
        <v>35616</v>
      </c>
      <c r="F86" s="190">
        <v>6.36</v>
      </c>
      <c r="G86" s="189">
        <v>801998</v>
      </c>
      <c r="H86" s="189">
        <v>5100708</v>
      </c>
      <c r="I86" s="204">
        <v>5136324</v>
      </c>
    </row>
    <row r="87" spans="1:9" ht="15.75" x14ac:dyDescent="0.25">
      <c r="A87" s="521"/>
      <c r="B87" s="522" t="s">
        <v>182</v>
      </c>
      <c r="C87" s="187"/>
      <c r="D87" s="568"/>
      <c r="E87" s="187"/>
      <c r="F87" s="187"/>
      <c r="G87" s="187"/>
      <c r="H87" s="189">
        <v>1997400</v>
      </c>
      <c r="I87" s="204">
        <v>1997400</v>
      </c>
    </row>
    <row r="88" spans="1:9" ht="15.75" x14ac:dyDescent="0.25">
      <c r="A88" s="524">
        <v>3.3</v>
      </c>
      <c r="B88" s="525" t="s">
        <v>145</v>
      </c>
      <c r="C88" s="187"/>
      <c r="D88" s="568"/>
      <c r="E88" s="187"/>
      <c r="F88" s="187"/>
      <c r="G88" s="187"/>
      <c r="H88" s="187"/>
      <c r="I88" s="205"/>
    </row>
    <row r="89" spans="1:9" ht="31.5" x14ac:dyDescent="0.25">
      <c r="A89" s="521" t="s">
        <v>183</v>
      </c>
      <c r="B89" s="522" t="s">
        <v>644</v>
      </c>
      <c r="C89" s="190">
        <v>19.16</v>
      </c>
      <c r="D89" s="567">
        <v>5600</v>
      </c>
      <c r="E89" s="189">
        <v>107296</v>
      </c>
      <c r="F89" s="190">
        <v>19.16</v>
      </c>
      <c r="G89" s="189">
        <v>531845</v>
      </c>
      <c r="H89" s="189">
        <v>10190142</v>
      </c>
      <c r="I89" s="204">
        <v>10297438</v>
      </c>
    </row>
    <row r="90" spans="1:9" ht="15.75" x14ac:dyDescent="0.25">
      <c r="A90" s="521" t="s">
        <v>184</v>
      </c>
      <c r="B90" s="522" t="s">
        <v>185</v>
      </c>
      <c r="C90" s="190">
        <v>3.35</v>
      </c>
      <c r="D90" s="567">
        <v>5600</v>
      </c>
      <c r="E90" s="189">
        <v>18760</v>
      </c>
      <c r="F90" s="190">
        <v>3.35</v>
      </c>
      <c r="G90" s="189">
        <v>1064569</v>
      </c>
      <c r="H90" s="189">
        <v>3566305</v>
      </c>
      <c r="I90" s="204">
        <v>3585065</v>
      </c>
    </row>
    <row r="91" spans="1:9" ht="15.75" x14ac:dyDescent="0.25">
      <c r="A91" s="521" t="s">
        <v>186</v>
      </c>
      <c r="B91" s="522" t="s">
        <v>645</v>
      </c>
      <c r="C91" s="190">
        <v>14.24</v>
      </c>
      <c r="D91" s="567">
        <v>5600</v>
      </c>
      <c r="E91" s="189">
        <v>79744</v>
      </c>
      <c r="F91" s="190">
        <v>14.24</v>
      </c>
      <c r="G91" s="189">
        <v>86990</v>
      </c>
      <c r="H91" s="189">
        <v>1238743</v>
      </c>
      <c r="I91" s="204">
        <v>1318487</v>
      </c>
    </row>
    <row r="92" spans="1:9" ht="15.75" x14ac:dyDescent="0.25">
      <c r="A92" s="521"/>
      <c r="B92" s="522" t="s">
        <v>187</v>
      </c>
      <c r="C92" s="190">
        <v>20.9</v>
      </c>
      <c r="D92" s="567">
        <v>5600</v>
      </c>
      <c r="E92" s="189">
        <v>117040</v>
      </c>
      <c r="F92" s="190">
        <v>20.9</v>
      </c>
      <c r="G92" s="198">
        <v>280852</v>
      </c>
      <c r="H92" s="189">
        <v>5869807</v>
      </c>
      <c r="I92" s="204">
        <v>5986847</v>
      </c>
    </row>
    <row r="93" spans="1:9" ht="15.75" x14ac:dyDescent="0.25">
      <c r="A93" s="521"/>
      <c r="B93" s="522" t="s">
        <v>170</v>
      </c>
      <c r="C93" s="188">
        <v>2904.94</v>
      </c>
      <c r="D93" s="567">
        <v>5600</v>
      </c>
      <c r="E93" s="189">
        <v>16267664</v>
      </c>
      <c r="F93" s="188">
        <v>2904.94</v>
      </c>
      <c r="G93" s="189">
        <v>200000</v>
      </c>
      <c r="H93" s="189">
        <v>580988000</v>
      </c>
      <c r="I93" s="204">
        <v>597255664</v>
      </c>
    </row>
    <row r="94" spans="1:9" ht="15.75" x14ac:dyDescent="0.25">
      <c r="A94" s="521"/>
      <c r="B94" s="522" t="s">
        <v>169</v>
      </c>
      <c r="C94" s="190">
        <v>671.51</v>
      </c>
      <c r="D94" s="567">
        <v>5600</v>
      </c>
      <c r="E94" s="189">
        <v>3760456</v>
      </c>
      <c r="F94" s="190">
        <v>671.51</v>
      </c>
      <c r="G94" s="189">
        <v>50000</v>
      </c>
      <c r="H94" s="189">
        <v>33575500</v>
      </c>
      <c r="I94" s="204">
        <v>37335956</v>
      </c>
    </row>
    <row r="95" spans="1:9" ht="15.75" x14ac:dyDescent="0.25">
      <c r="A95" s="521"/>
      <c r="B95" s="522" t="s">
        <v>188</v>
      </c>
      <c r="C95" s="190">
        <v>117.22</v>
      </c>
      <c r="D95" s="567">
        <v>5600</v>
      </c>
      <c r="E95" s="189">
        <v>656432</v>
      </c>
      <c r="F95" s="190">
        <v>117.22</v>
      </c>
      <c r="G95" s="189">
        <v>200000</v>
      </c>
      <c r="H95" s="189">
        <v>23444000</v>
      </c>
      <c r="I95" s="204">
        <v>24100432</v>
      </c>
    </row>
    <row r="96" spans="1:9" ht="15.75" x14ac:dyDescent="0.25">
      <c r="A96" s="521"/>
      <c r="B96" s="522" t="s">
        <v>189</v>
      </c>
      <c r="C96" s="187"/>
      <c r="D96" s="568"/>
      <c r="E96" s="187"/>
      <c r="F96" s="187"/>
      <c r="G96" s="187"/>
      <c r="H96" s="189">
        <v>54270000</v>
      </c>
      <c r="I96" s="204">
        <v>54270000</v>
      </c>
    </row>
    <row r="97" spans="1:9" ht="15.75" x14ac:dyDescent="0.25">
      <c r="A97" s="521"/>
      <c r="B97" s="522" t="s">
        <v>190</v>
      </c>
      <c r="C97" s="187"/>
      <c r="D97" s="568"/>
      <c r="E97" s="187"/>
      <c r="F97" s="187"/>
      <c r="G97" s="187"/>
      <c r="H97" s="189">
        <v>1465100</v>
      </c>
      <c r="I97" s="204">
        <v>1465100</v>
      </c>
    </row>
    <row r="98" spans="1:9" ht="15.75" x14ac:dyDescent="0.25">
      <c r="A98" s="521"/>
      <c r="B98" s="522" t="s">
        <v>191</v>
      </c>
      <c r="C98" s="187"/>
      <c r="D98" s="568"/>
      <c r="E98" s="187"/>
      <c r="F98" s="187"/>
      <c r="G98" s="187"/>
      <c r="H98" s="189">
        <v>27008800</v>
      </c>
      <c r="I98" s="204">
        <v>27008800</v>
      </c>
    </row>
    <row r="99" spans="1:9" ht="15.75" x14ac:dyDescent="0.25">
      <c r="A99" s="521"/>
      <c r="B99" s="523" t="s">
        <v>646</v>
      </c>
      <c r="C99" s="187"/>
      <c r="D99" s="568"/>
      <c r="E99" s="187"/>
      <c r="F99" s="187"/>
      <c r="G99" s="187"/>
      <c r="H99" s="189">
        <v>4000000</v>
      </c>
      <c r="I99" s="204">
        <v>4000000</v>
      </c>
    </row>
    <row r="100" spans="1:9" ht="31.5" x14ac:dyDescent="0.25">
      <c r="A100" s="521"/>
      <c r="B100" s="522" t="s">
        <v>647</v>
      </c>
      <c r="C100" s="187"/>
      <c r="D100" s="568"/>
      <c r="E100" s="187"/>
      <c r="F100" s="187"/>
      <c r="G100" s="187"/>
      <c r="H100" s="189">
        <v>293610400</v>
      </c>
      <c r="I100" s="204">
        <v>293610400</v>
      </c>
    </row>
    <row r="101" spans="1:9" ht="31.5" x14ac:dyDescent="0.25">
      <c r="A101" s="521"/>
      <c r="B101" s="522" t="s">
        <v>193</v>
      </c>
      <c r="C101" s="187"/>
      <c r="D101" s="568"/>
      <c r="E101" s="187"/>
      <c r="F101" s="187"/>
      <c r="G101" s="187"/>
      <c r="H101" s="189">
        <v>39169900</v>
      </c>
      <c r="I101" s="204">
        <v>39169900</v>
      </c>
    </row>
    <row r="102" spans="1:9" ht="15.75" x14ac:dyDescent="0.25">
      <c r="A102" s="524">
        <v>3.4</v>
      </c>
      <c r="B102" s="528" t="s">
        <v>33</v>
      </c>
      <c r="C102" s="187"/>
      <c r="D102" s="568"/>
      <c r="E102" s="187"/>
      <c r="F102" s="187"/>
      <c r="G102" s="187"/>
      <c r="H102" s="187"/>
      <c r="I102" s="205"/>
    </row>
    <row r="103" spans="1:9" s="453" customFormat="1" ht="15.75" x14ac:dyDescent="0.25">
      <c r="A103" s="521"/>
      <c r="B103" s="523" t="s">
        <v>648</v>
      </c>
      <c r="C103" s="655">
        <v>51785.64</v>
      </c>
      <c r="D103" s="567">
        <v>5600</v>
      </c>
      <c r="E103" s="567">
        <v>289999584</v>
      </c>
      <c r="F103" s="652"/>
      <c r="G103" s="652"/>
      <c r="H103" s="652"/>
      <c r="I103" s="653">
        <v>289999584</v>
      </c>
    </row>
    <row r="104" spans="1:9" s="453" customFormat="1" ht="15.75" x14ac:dyDescent="0.25">
      <c r="A104" s="521"/>
      <c r="B104" s="525" t="s">
        <v>578</v>
      </c>
      <c r="C104" s="649">
        <v>57017.3</v>
      </c>
      <c r="D104" s="568"/>
      <c r="E104" s="656">
        <v>319296880</v>
      </c>
      <c r="F104" s="656">
        <v>6058</v>
      </c>
      <c r="G104" s="652"/>
      <c r="H104" s="656">
        <v>2573871041</v>
      </c>
      <c r="I104" s="657">
        <v>2893167921</v>
      </c>
    </row>
    <row r="105" spans="1:9" ht="15.75" x14ac:dyDescent="0.25">
      <c r="A105" s="521"/>
      <c r="B105" s="523"/>
      <c r="C105" s="187"/>
      <c r="D105" s="568"/>
      <c r="E105" s="187"/>
      <c r="F105" s="187"/>
      <c r="G105" s="187"/>
      <c r="H105" s="187"/>
      <c r="I105" s="205"/>
    </row>
    <row r="106" spans="1:9" s="453" customFormat="1" ht="16.5" thickBot="1" x14ac:dyDescent="0.3">
      <c r="A106" s="529"/>
      <c r="B106" s="530" t="s">
        <v>195</v>
      </c>
      <c r="C106" s="658">
        <v>133161.82999999999</v>
      </c>
      <c r="D106" s="569"/>
      <c r="E106" s="659">
        <v>745706248</v>
      </c>
      <c r="F106" s="658">
        <v>63243.09</v>
      </c>
      <c r="G106" s="660"/>
      <c r="H106" s="659">
        <v>10855298127</v>
      </c>
      <c r="I106" s="661">
        <v>11601004375</v>
      </c>
    </row>
  </sheetData>
  <scenarios current="17" show="17" sqref="D18">
    <scenario name="A" locked="1" count="1" user="ecarrasquilla" comment="Creado por ecarrasquilla el 29/10/2012_x000a_Modificado por ecarrasquilla el 29/10/2012_x000a_Modificado por ecarrasquilla el 30/10/2012">
      <inputCells r="D21" val="15"/>
    </scenario>
    <scenario name="B" locked="1" count="1" user="ecarrasquilla" comment="Creado por ecarrasquilla el 29/10/2012_x000a_Modificado por ecarrasquilla el 29/10/2012_x000a_Modificado por ecarrasquilla el 30/10/2012">
      <inputCells r="D21" val="25"/>
    </scenario>
    <scenario name="C" locked="1" count="1" user="ecarrasquilla" comment="Creado por ecarrasquilla el 29/10/2012_x000a_Modificado por ecarrasquilla el 29/10/2012_x000a_Modificado por ecarrasquilla el 30/10/2012">
      <inputCells r="D21" val="30" numFmtId="173"/>
    </scenario>
    <scenario name="d" locked="1" count="1" user="ecarrasquilla" comment="Creado por ecarrasquilla el 29/10/2012_x000a_Modificado por ecarrasquilla el 29/10/2012_x000a_Modificado por ecarrasquilla el 30/10/2012">
      <inputCells r="D21" val="35" numFmtId="173"/>
    </scenario>
    <scenario name="e" locked="1" count="1" user="ecarrasquilla" comment="Creado por ecarrasquilla el 29/10/2012_x000a_Modificado por ecarrasquilla el 29/10/2012_x000a_Modificado por ecarrasquilla el 30/10/2012">
      <inputCells r="D21" val="40" numFmtId="173"/>
    </scenario>
    <scenario name="f" locked="1" count="1" user="ecarrasquilla" comment="Creado por ecarrasquilla el 29/10/2012_x000a_Modificado por ecarrasquilla el 29/10/2012_x000a_Modificado por ecarrasquilla el 30/10/2012">
      <inputCells r="D21" val="45" numFmtId="173"/>
    </scenario>
    <scenario name="g" locked="1" count="1" user="ecarrasquilla" comment="Creado por ecarrasquilla el 29/10/2012_x000a_Modificado por ecarrasquilla el 29/10/2012_x000a_Modificado por ecarrasquilla el 30/10/2012">
      <inputCells r="D21" val="50" numFmtId="173"/>
    </scenario>
    <scenario name="h" locked="1" count="1" user="ecarrasquilla" comment="Creado por ecarrasquilla el 29/10/2012_x000a_Modificado por ecarrasquilla el 30/10/2012">
      <inputCells r="D21" val="55" numFmtId="173"/>
    </scenario>
    <scenario name="i" locked="1" count="1" user="ecarrasquilla" comment="Creado por ecarrasquilla el 29/10/2012_x000a_Modificado por ecarrasquilla el 30/10/2012">
      <inputCells r="D21" val="60" numFmtId="173"/>
    </scenario>
    <scenario name="j" locked="1" count="1" user="ecarrasquilla" comment="Creado por ecarrasquilla el 29/10/2012_x000a_Modificado por ecarrasquilla el 30/10/2012">
      <inputCells r="D21" val="65" numFmtId="173"/>
    </scenario>
    <scenario name="k" locked="1" count="1" user="ecarrasquilla" comment="Creado por ecarrasquilla el 29/10/2012_x000a_Modificado por ecarrasquilla el 30/10/2012">
      <inputCells r="D21" val="70" numFmtId="173"/>
    </scenario>
    <scenario name="l" locked="1" count="1" user="ecarrasquilla" comment="Creado por ecarrasquilla el 29/10/2012_x000a_Modificado por ecarrasquilla el 30/10/2012">
      <inputCells r="D21" val="75" numFmtId="173"/>
    </scenario>
    <scenario name="m" locked="1" count="1" user="ecarrasquilla" comment="Creado por ecarrasquilla el 29/10/2012_x000a_Modificado por ecarrasquilla el 30/10/2012">
      <inputCells r="D21" val="80" numFmtId="173"/>
    </scenario>
    <scenario name="n" locked="1" count="1" user="ecarrasquilla" comment="Creado por ecarrasquilla el 29/10/2012_x000a_Modificado por ecarrasquilla el 30/10/2012">
      <inputCells r="D21" val="85" numFmtId="173"/>
    </scenario>
    <scenario name="ñ" locked="1" count="1" user="ecarrasquilla" comment="Creado por ecarrasquilla el 29/10/2012_x000a_Modificado por ecarrasquilla el 30/10/2012">
      <inputCells r="D21" val="90" numFmtId="173"/>
    </scenario>
    <scenario name="p" locked="1" count="1" user="ecarrasquilla" comment="Creado por ecarrasquilla el 29/10/2012_x000a_Modificado por ecarrasquilla el 30/10/2012">
      <inputCells r="D21" val="95" numFmtId="173"/>
    </scenario>
    <scenario name="r" locked="1" count="1" user="ecarrasquilla" comment="Creado por ecarrasquilla el 29/10/2012_x000a_Modificado por ecarrasquilla el 30/10/2012">
      <inputCells r="D21" val="100" numFmtId="173"/>
    </scenario>
    <scenario name="s" locked="1" count="1" user="ecarrasquilla" comment="Creado por ecarrasquilla el 29/10/2012_x000a_Modificado por ecarrasquilla el 30/10/2012">
      <inputCells r="D21" val="105" numFmtId="173"/>
    </scenario>
  </scenarios>
  <customSheetViews>
    <customSheetView guid="{4855CA7E-D0E4-4BAE-B28F-C7B8E2548C7E}" scale="110" topLeftCell="A95">
      <selection activeCell="D111" sqref="D111"/>
      <pageMargins left="0.7" right="0.7" top="0.75" bottom="0.75" header="0.3" footer="0.3"/>
      <pageSetup orientation="portrait"/>
    </customSheetView>
    <customSheetView guid="{8877400E-0ED9-40F2-B6D2-591D7CFEBFC1}" scale="70">
      <selection activeCell="B1" sqref="B1"/>
      <pageMargins left="0.7" right="0.7" top="0.75" bottom="0.75" header="0.3" footer="0.3"/>
      <pageSetup orientation="portrait"/>
    </customSheetView>
  </customSheetViews>
  <mergeCells count="30">
    <mergeCell ref="A40:B40"/>
    <mergeCell ref="A4:B4"/>
    <mergeCell ref="A5:B5"/>
    <mergeCell ref="A6:B6"/>
    <mergeCell ref="A7:B7"/>
    <mergeCell ref="A9:B9"/>
    <mergeCell ref="A8:B8"/>
    <mergeCell ref="A12:B12"/>
    <mergeCell ref="A15:B15"/>
    <mergeCell ref="A10:B10"/>
    <mergeCell ref="A11:B11"/>
    <mergeCell ref="A34:B34"/>
    <mergeCell ref="A35:B35"/>
    <mergeCell ref="A36:B36"/>
    <mergeCell ref="A37:B37"/>
    <mergeCell ref="A38:B38"/>
    <mergeCell ref="A3:B3"/>
    <mergeCell ref="A27:B27"/>
    <mergeCell ref="A28:B28"/>
    <mergeCell ref="A29:B29"/>
    <mergeCell ref="A30:B30"/>
    <mergeCell ref="A18:B18"/>
    <mergeCell ref="A17:B17"/>
    <mergeCell ref="A14:B14"/>
    <mergeCell ref="A13:B13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55" orientation="landscape" r:id="rId1"/>
  <headerFooter>
    <oddHeader>&amp;C&amp;F&amp;A-&amp;P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5"/>
  <sheetViews>
    <sheetView view="pageBreakPreview" topLeftCell="A7" zoomScaleNormal="50" zoomScaleSheetLayoutView="100" workbookViewId="0">
      <selection sqref="A1:A1048576"/>
    </sheetView>
  </sheetViews>
  <sheetFormatPr baseColWidth="10" defaultColWidth="10.85546875" defaultRowHeight="15" x14ac:dyDescent="0.25"/>
  <cols>
    <col min="1" max="1" width="37.42578125" style="570" customWidth="1"/>
    <col min="2" max="2" width="25.28515625" style="33" bestFit="1" customWidth="1"/>
    <col min="3" max="3" width="16.28515625" style="33" customWidth="1"/>
    <col min="4" max="4" width="15.140625" style="33" customWidth="1"/>
    <col min="5" max="5" width="15.7109375" style="33" customWidth="1"/>
    <col min="6" max="6" width="15.85546875" style="33" customWidth="1"/>
    <col min="7" max="7" width="16.42578125" style="33" customWidth="1"/>
    <col min="8" max="8" width="14.28515625" style="33" customWidth="1"/>
    <col min="9" max="14" width="13.85546875" style="33" bestFit="1" customWidth="1"/>
    <col min="15" max="32" width="14.85546875" style="33" bestFit="1" customWidth="1"/>
    <col min="33" max="16384" width="10.85546875" style="33"/>
  </cols>
  <sheetData>
    <row r="1" spans="1:32" x14ac:dyDescent="0.25">
      <c r="A1" s="570" t="s">
        <v>650</v>
      </c>
      <c r="B1" s="41"/>
      <c r="C1" s="41"/>
      <c r="D1" s="41"/>
      <c r="E1" s="41"/>
      <c r="F1" s="41"/>
      <c r="G1" s="41"/>
      <c r="K1" s="49"/>
    </row>
    <row r="2" spans="1:32" x14ac:dyDescent="0.25">
      <c r="B2" s="41"/>
      <c r="C2" s="41"/>
      <c r="D2" s="41"/>
      <c r="E2" s="41"/>
      <c r="F2" s="41"/>
      <c r="G2" s="41"/>
    </row>
    <row r="3" spans="1:32" x14ac:dyDescent="0.25">
      <c r="A3" s="571" t="s">
        <v>651</v>
      </c>
      <c r="B3" s="40"/>
      <c r="C3" s="41"/>
      <c r="D3" s="41"/>
      <c r="E3" s="41"/>
      <c r="F3" s="41"/>
      <c r="G3" s="41"/>
    </row>
    <row r="4" spans="1:32" x14ac:dyDescent="0.25">
      <c r="A4" s="571"/>
      <c r="B4" s="40"/>
      <c r="C4" s="41"/>
      <c r="D4" s="41"/>
      <c r="E4" s="41"/>
      <c r="F4" s="41"/>
      <c r="G4" s="41"/>
    </row>
    <row r="5" spans="1:32" x14ac:dyDescent="0.25">
      <c r="A5" s="572" t="s">
        <v>652</v>
      </c>
      <c r="B5" s="59">
        <v>58938086235.599998</v>
      </c>
      <c r="C5" s="41"/>
      <c r="D5" s="41"/>
      <c r="E5" s="41"/>
      <c r="F5" s="41"/>
      <c r="G5" s="41"/>
    </row>
    <row r="6" spans="1:32" x14ac:dyDescent="0.25">
      <c r="A6" s="572" t="s">
        <v>653</v>
      </c>
      <c r="B6" s="64">
        <f>B5*D7</f>
        <v>41256660364.919998</v>
      </c>
      <c r="C6" s="41"/>
      <c r="D6" s="437" t="s">
        <v>84</v>
      </c>
      <c r="E6" s="437"/>
      <c r="F6" s="41"/>
      <c r="G6" s="41"/>
    </row>
    <row r="7" spans="1:32" x14ac:dyDescent="0.25">
      <c r="A7" s="572" t="s">
        <v>654</v>
      </c>
      <c r="B7" s="65">
        <v>6.1199999999999997E-2</v>
      </c>
      <c r="C7" s="41"/>
      <c r="D7" s="48">
        <v>0.7</v>
      </c>
      <c r="E7" s="47" t="s">
        <v>82</v>
      </c>
      <c r="F7" s="41"/>
      <c r="G7" s="41"/>
    </row>
    <row r="8" spans="1:32" x14ac:dyDescent="0.25">
      <c r="A8" s="572" t="s">
        <v>81</v>
      </c>
      <c r="B8" s="66">
        <v>30</v>
      </c>
      <c r="C8" s="41"/>
      <c r="D8" s="46">
        <f>1-D7</f>
        <v>0.30000000000000004</v>
      </c>
      <c r="E8" s="45" t="s">
        <v>80</v>
      </c>
      <c r="F8" s="41"/>
      <c r="G8" s="41"/>
    </row>
    <row r="9" spans="1:32" x14ac:dyDescent="0.25">
      <c r="A9" s="573" t="s">
        <v>655</v>
      </c>
      <c r="B9" s="59">
        <v>0</v>
      </c>
      <c r="C9" s="41"/>
      <c r="D9" s="41"/>
      <c r="E9" s="41"/>
      <c r="F9" s="41"/>
      <c r="G9" s="41"/>
    </row>
    <row r="10" spans="1:32" x14ac:dyDescent="0.25">
      <c r="A10" s="573" t="s">
        <v>656</v>
      </c>
      <c r="B10" s="59">
        <v>30</v>
      </c>
      <c r="C10" s="41"/>
      <c r="D10" s="44"/>
      <c r="E10" s="43"/>
      <c r="F10" s="41"/>
      <c r="G10" s="41"/>
    </row>
    <row r="11" spans="1:32" x14ac:dyDescent="0.25">
      <c r="A11" s="572" t="s">
        <v>657</v>
      </c>
      <c r="B11" s="67">
        <v>0.01</v>
      </c>
      <c r="C11" s="42"/>
      <c r="D11" s="42"/>
      <c r="E11" s="42"/>
      <c r="F11" s="41"/>
      <c r="G11" s="41"/>
    </row>
    <row r="12" spans="1:32" x14ac:dyDescent="0.25">
      <c r="A12" s="572" t="s">
        <v>79</v>
      </c>
      <c r="B12" s="68" t="s">
        <v>78</v>
      </c>
      <c r="C12" s="42"/>
      <c r="D12" s="42"/>
      <c r="E12" s="42"/>
      <c r="F12" s="41"/>
      <c r="G12" s="41"/>
    </row>
    <row r="13" spans="1:32" x14ac:dyDescent="0.25">
      <c r="A13" s="573" t="s">
        <v>77</v>
      </c>
      <c r="B13" s="69">
        <v>0.33</v>
      </c>
      <c r="C13" s="42"/>
      <c r="D13" s="42"/>
      <c r="E13" s="42"/>
      <c r="F13" s="41"/>
      <c r="G13" s="41"/>
    </row>
    <row r="14" spans="1:32" x14ac:dyDescent="0.25">
      <c r="B14" s="41"/>
      <c r="C14" s="42"/>
      <c r="D14" s="42"/>
      <c r="E14" s="42"/>
      <c r="F14" s="41"/>
      <c r="G14" s="41"/>
    </row>
    <row r="15" spans="1:32" x14ac:dyDescent="0.25">
      <c r="A15" s="574" t="s">
        <v>122</v>
      </c>
      <c r="B15" s="107">
        <v>1999</v>
      </c>
      <c r="C15" s="107">
        <v>2000</v>
      </c>
      <c r="D15" s="107">
        <v>2001</v>
      </c>
      <c r="E15" s="107">
        <v>2002</v>
      </c>
      <c r="F15" s="107">
        <v>2003</v>
      </c>
      <c r="G15" s="107">
        <v>2004</v>
      </c>
      <c r="H15" s="107">
        <v>2005</v>
      </c>
      <c r="I15" s="107">
        <v>2006</v>
      </c>
      <c r="J15" s="107">
        <v>2007</v>
      </c>
      <c r="K15" s="107">
        <v>2008</v>
      </c>
      <c r="L15" s="107">
        <v>2009</v>
      </c>
      <c r="M15" s="107">
        <v>2010</v>
      </c>
      <c r="N15" s="107">
        <v>2011</v>
      </c>
      <c r="O15" s="107">
        <v>2012</v>
      </c>
      <c r="P15" s="107">
        <v>2013</v>
      </c>
      <c r="Q15" s="107">
        <v>2014</v>
      </c>
      <c r="R15" s="107">
        <v>2015</v>
      </c>
      <c r="S15" s="107">
        <v>2016</v>
      </c>
      <c r="T15" s="107">
        <v>2017</v>
      </c>
      <c r="U15" s="107">
        <v>2018</v>
      </c>
      <c r="V15" s="107">
        <v>2019</v>
      </c>
      <c r="W15" s="107">
        <v>2020</v>
      </c>
      <c r="X15" s="107">
        <v>2021</v>
      </c>
      <c r="Y15" s="107">
        <v>2022</v>
      </c>
      <c r="Z15" s="107">
        <v>2023</v>
      </c>
      <c r="AA15" s="107">
        <v>2024</v>
      </c>
      <c r="AB15" s="107">
        <v>2025</v>
      </c>
      <c r="AC15" s="107">
        <v>2026</v>
      </c>
      <c r="AD15" s="107">
        <v>2027</v>
      </c>
      <c r="AE15" s="107">
        <v>2028</v>
      </c>
      <c r="AF15" s="107">
        <v>2029</v>
      </c>
    </row>
    <row r="16" spans="1:32" x14ac:dyDescent="0.25">
      <c r="A16" s="571" t="s">
        <v>658</v>
      </c>
      <c r="B16" s="41"/>
      <c r="C16" s="41"/>
      <c r="D16" s="41"/>
      <c r="E16" s="41"/>
      <c r="F16" s="41"/>
      <c r="G16" s="41"/>
    </row>
    <row r="17" spans="1:32" x14ac:dyDescent="0.25">
      <c r="A17" s="575" t="s">
        <v>76</v>
      </c>
      <c r="B17" s="62">
        <v>0</v>
      </c>
      <c r="C17" s="62">
        <v>1</v>
      </c>
      <c r="D17" s="62">
        <v>2</v>
      </c>
      <c r="E17" s="62">
        <v>3</v>
      </c>
      <c r="F17" s="62">
        <v>4</v>
      </c>
      <c r="G17" s="62">
        <v>5</v>
      </c>
      <c r="H17" s="62">
        <v>6</v>
      </c>
      <c r="I17" s="62">
        <v>7</v>
      </c>
      <c r="J17" s="62">
        <v>8</v>
      </c>
      <c r="K17" s="62">
        <v>9</v>
      </c>
      <c r="L17" s="62">
        <v>10</v>
      </c>
      <c r="M17" s="62">
        <v>11</v>
      </c>
      <c r="N17" s="62">
        <v>12</v>
      </c>
      <c r="O17" s="62">
        <v>13</v>
      </c>
      <c r="P17" s="62">
        <v>14</v>
      </c>
      <c r="Q17" s="62">
        <v>15</v>
      </c>
      <c r="R17" s="62">
        <v>16</v>
      </c>
      <c r="S17" s="62">
        <v>17</v>
      </c>
      <c r="T17" s="62">
        <v>18</v>
      </c>
      <c r="U17" s="62">
        <v>19</v>
      </c>
      <c r="V17" s="62">
        <v>20</v>
      </c>
      <c r="W17" s="62">
        <v>21</v>
      </c>
      <c r="X17" s="62">
        <v>22</v>
      </c>
      <c r="Y17" s="62">
        <v>23</v>
      </c>
      <c r="Z17" s="62">
        <v>24</v>
      </c>
      <c r="AA17" s="62">
        <v>25</v>
      </c>
      <c r="AB17" s="62">
        <v>26</v>
      </c>
      <c r="AC17" s="62">
        <v>27</v>
      </c>
      <c r="AD17" s="62">
        <v>28</v>
      </c>
      <c r="AE17" s="62">
        <v>29</v>
      </c>
      <c r="AF17" s="62">
        <v>30</v>
      </c>
    </row>
    <row r="18" spans="1:32" x14ac:dyDescent="0.25">
      <c r="A18" s="572" t="s">
        <v>23</v>
      </c>
      <c r="B18" s="59">
        <v>0</v>
      </c>
      <c r="C18" s="60">
        <f>-PMT(B7,B10,B6)</f>
        <v>3035837465.3039126</v>
      </c>
      <c r="D18" s="60">
        <f>C18</f>
        <v>3035837465.3039126</v>
      </c>
      <c r="E18" s="60">
        <f t="shared" ref="E18:AF18" si="0">D18</f>
        <v>3035837465.3039126</v>
      </c>
      <c r="F18" s="60">
        <f t="shared" si="0"/>
        <v>3035837465.3039126</v>
      </c>
      <c r="G18" s="60">
        <f t="shared" si="0"/>
        <v>3035837465.3039126</v>
      </c>
      <c r="H18" s="60">
        <f t="shared" si="0"/>
        <v>3035837465.3039126</v>
      </c>
      <c r="I18" s="60">
        <f t="shared" si="0"/>
        <v>3035837465.3039126</v>
      </c>
      <c r="J18" s="60">
        <f t="shared" si="0"/>
        <v>3035837465.3039126</v>
      </c>
      <c r="K18" s="60">
        <f t="shared" si="0"/>
        <v>3035837465.3039126</v>
      </c>
      <c r="L18" s="60">
        <f t="shared" si="0"/>
        <v>3035837465.3039126</v>
      </c>
      <c r="M18" s="60">
        <f t="shared" si="0"/>
        <v>3035837465.3039126</v>
      </c>
      <c r="N18" s="60">
        <f t="shared" si="0"/>
        <v>3035837465.3039126</v>
      </c>
      <c r="O18" s="60">
        <f t="shared" si="0"/>
        <v>3035837465.3039126</v>
      </c>
      <c r="P18" s="60">
        <f t="shared" si="0"/>
        <v>3035837465.3039126</v>
      </c>
      <c r="Q18" s="60">
        <f t="shared" si="0"/>
        <v>3035837465.3039126</v>
      </c>
      <c r="R18" s="60">
        <f t="shared" si="0"/>
        <v>3035837465.3039126</v>
      </c>
      <c r="S18" s="60">
        <f t="shared" si="0"/>
        <v>3035837465.3039126</v>
      </c>
      <c r="T18" s="60">
        <f t="shared" si="0"/>
        <v>3035837465.3039126</v>
      </c>
      <c r="U18" s="60">
        <f t="shared" si="0"/>
        <v>3035837465.3039126</v>
      </c>
      <c r="V18" s="60">
        <f t="shared" si="0"/>
        <v>3035837465.3039126</v>
      </c>
      <c r="W18" s="60">
        <f t="shared" si="0"/>
        <v>3035837465.3039126</v>
      </c>
      <c r="X18" s="60">
        <f t="shared" si="0"/>
        <v>3035837465.3039126</v>
      </c>
      <c r="Y18" s="60">
        <f t="shared" si="0"/>
        <v>3035837465.3039126</v>
      </c>
      <c r="Z18" s="60">
        <f t="shared" si="0"/>
        <v>3035837465.3039126</v>
      </c>
      <c r="AA18" s="60">
        <f t="shared" si="0"/>
        <v>3035837465.3039126</v>
      </c>
      <c r="AB18" s="60">
        <f t="shared" si="0"/>
        <v>3035837465.3039126</v>
      </c>
      <c r="AC18" s="60">
        <f t="shared" si="0"/>
        <v>3035837465.3039126</v>
      </c>
      <c r="AD18" s="60">
        <f t="shared" si="0"/>
        <v>3035837465.3039126</v>
      </c>
      <c r="AE18" s="60">
        <f t="shared" si="0"/>
        <v>3035837465.3039126</v>
      </c>
      <c r="AF18" s="60">
        <f t="shared" si="0"/>
        <v>3035837465.3039126</v>
      </c>
    </row>
    <row r="19" spans="1:32" x14ac:dyDescent="0.25">
      <c r="A19" s="572" t="s">
        <v>659</v>
      </c>
      <c r="B19" s="59">
        <v>0</v>
      </c>
      <c r="C19" s="59">
        <f>B21*B7</f>
        <v>2524907614.3331037</v>
      </c>
      <c r="D19" s="59">
        <f>C21*B7</f>
        <v>2493638707.4536901</v>
      </c>
      <c r="E19" s="59">
        <f>D21*B7</f>
        <v>2460456143.4732566</v>
      </c>
      <c r="F19" s="59">
        <f>E21*$B$7</f>
        <v>2425242806.5772204</v>
      </c>
      <c r="G19" s="59">
        <f>F21*$B$7</f>
        <v>2387874413.4631472</v>
      </c>
      <c r="H19" s="59">
        <f t="shared" ref="H19:AF19" si="1">G21*$B$7</f>
        <v>2348219074.6904922</v>
      </c>
      <c r="I19" s="59">
        <f t="shared" si="1"/>
        <v>2306136829.1849508</v>
      </c>
      <c r="J19" s="59">
        <f t="shared" si="1"/>
        <v>2261479150.2544703</v>
      </c>
      <c r="K19" s="59">
        <f t="shared" si="1"/>
        <v>2214088421.3734441</v>
      </c>
      <c r="L19" s="59">
        <f t="shared" si="1"/>
        <v>2163797379.8848996</v>
      </c>
      <c r="M19" s="59">
        <f t="shared" si="1"/>
        <v>2110428526.6572559</v>
      </c>
      <c r="N19" s="59">
        <f t="shared" si="1"/>
        <v>2053793499.6120806</v>
      </c>
      <c r="O19" s="59">
        <f t="shared" si="1"/>
        <v>1993692408.9117403</v>
      </c>
      <c r="P19" s="59">
        <f t="shared" si="1"/>
        <v>1929913131.4605393</v>
      </c>
      <c r="Q19" s="59">
        <f t="shared" si="1"/>
        <v>1862230562.2293248</v>
      </c>
      <c r="R19" s="59">
        <f t="shared" si="1"/>
        <v>1790405819.7611601</v>
      </c>
      <c r="S19" s="59">
        <f t="shared" si="1"/>
        <v>1714185403.0539436</v>
      </c>
      <c r="T19" s="59">
        <f t="shared" si="1"/>
        <v>1633300296.8442457</v>
      </c>
      <c r="U19" s="59">
        <f t="shared" si="1"/>
        <v>1547465022.1345139</v>
      </c>
      <c r="V19" s="59">
        <f t="shared" si="1"/>
        <v>1456376628.6125467</v>
      </c>
      <c r="W19" s="59">
        <f>V21*$B$7</f>
        <v>1359713625.4070351</v>
      </c>
      <c r="X19" s="59">
        <f t="shared" si="1"/>
        <v>1257134846.4053464</v>
      </c>
      <c r="Y19" s="59">
        <f t="shared" si="1"/>
        <v>1148278246.1287541</v>
      </c>
      <c r="Z19" s="59">
        <f t="shared" si="1"/>
        <v>1032759621.9152343</v>
      </c>
      <c r="AA19" s="59">
        <f t="shared" si="1"/>
        <v>910171257.89984715</v>
      </c>
      <c r="AB19" s="59">
        <f t="shared" si="1"/>
        <v>780080486.0067184</v>
      </c>
      <c r="AC19" s="59">
        <f t="shared" si="1"/>
        <v>642028158.87373006</v>
      </c>
      <c r="AD19" s="59">
        <f t="shared" si="1"/>
        <v>495527029.32020283</v>
      </c>
      <c r="AE19" s="59">
        <f t="shared" si="1"/>
        <v>340060030.63799977</v>
      </c>
      <c r="AF19" s="59">
        <f t="shared" si="1"/>
        <v>175078451.63644594</v>
      </c>
    </row>
    <row r="20" spans="1:32" x14ac:dyDescent="0.25">
      <c r="A20" s="572" t="s">
        <v>75</v>
      </c>
      <c r="B20" s="59">
        <v>0</v>
      </c>
      <c r="C20" s="59">
        <f>C18-C19</f>
        <v>510929850.97080898</v>
      </c>
      <c r="D20" s="59">
        <f t="shared" ref="D20:AF20" si="2">D18-D19</f>
        <v>542198757.85022259</v>
      </c>
      <c r="E20" s="59">
        <f t="shared" si="2"/>
        <v>575381321.83065605</v>
      </c>
      <c r="F20" s="59">
        <f t="shared" si="2"/>
        <v>610594658.7266922</v>
      </c>
      <c r="G20" s="59">
        <f t="shared" si="2"/>
        <v>647963051.84076548</v>
      </c>
      <c r="H20" s="59">
        <f t="shared" si="2"/>
        <v>687618390.61342049</v>
      </c>
      <c r="I20" s="59">
        <f t="shared" si="2"/>
        <v>729700636.11896181</v>
      </c>
      <c r="J20" s="59">
        <f t="shared" si="2"/>
        <v>774358315.04944229</v>
      </c>
      <c r="K20" s="59">
        <f t="shared" si="2"/>
        <v>821749043.93046856</v>
      </c>
      <c r="L20" s="59">
        <f t="shared" si="2"/>
        <v>872040085.41901302</v>
      </c>
      <c r="M20" s="59">
        <f t="shared" si="2"/>
        <v>925408938.64665675</v>
      </c>
      <c r="N20" s="59">
        <f t="shared" si="2"/>
        <v>982043965.69183207</v>
      </c>
      <c r="O20" s="59">
        <f t="shared" si="2"/>
        <v>1042145056.3921723</v>
      </c>
      <c r="P20" s="59">
        <f t="shared" si="2"/>
        <v>1105924333.8433733</v>
      </c>
      <c r="Q20" s="59">
        <f t="shared" si="2"/>
        <v>1173606903.0745878</v>
      </c>
      <c r="R20" s="59">
        <f t="shared" si="2"/>
        <v>1245431645.5427525</v>
      </c>
      <c r="S20" s="59">
        <f t="shared" si="2"/>
        <v>1321652062.249969</v>
      </c>
      <c r="T20" s="59">
        <f t="shared" si="2"/>
        <v>1402537168.459667</v>
      </c>
      <c r="U20" s="59">
        <f t="shared" si="2"/>
        <v>1488372443.1693988</v>
      </c>
      <c r="V20" s="59">
        <f t="shared" si="2"/>
        <v>1579460836.691366</v>
      </c>
      <c r="W20" s="59">
        <f t="shared" si="2"/>
        <v>1676123839.8968775</v>
      </c>
      <c r="X20" s="59">
        <f t="shared" si="2"/>
        <v>1778702618.8985662</v>
      </c>
      <c r="Y20" s="59">
        <f t="shared" si="2"/>
        <v>1887559219.1751585</v>
      </c>
      <c r="Z20" s="59">
        <f t="shared" si="2"/>
        <v>2003077843.3886783</v>
      </c>
      <c r="AA20" s="59">
        <f t="shared" si="2"/>
        <v>2125666207.4040656</v>
      </c>
      <c r="AB20" s="59">
        <f t="shared" si="2"/>
        <v>2255756979.2971945</v>
      </c>
      <c r="AC20" s="59">
        <f t="shared" si="2"/>
        <v>2393809306.4301825</v>
      </c>
      <c r="AD20" s="59">
        <f t="shared" si="2"/>
        <v>2540310435.9837098</v>
      </c>
      <c r="AE20" s="59">
        <f t="shared" si="2"/>
        <v>2695777434.6659126</v>
      </c>
      <c r="AF20" s="59">
        <f t="shared" si="2"/>
        <v>2860759013.6674666</v>
      </c>
    </row>
    <row r="21" spans="1:32" x14ac:dyDescent="0.25">
      <c r="A21" s="572" t="s">
        <v>74</v>
      </c>
      <c r="B21" s="59">
        <f>+B6</f>
        <v>41256660364.919998</v>
      </c>
      <c r="C21" s="59">
        <f>+B21-C20</f>
        <v>40745730513.949188</v>
      </c>
      <c r="D21" s="59">
        <f t="shared" ref="D21:AF21" si="3">+C21-D20</f>
        <v>40203531756.098969</v>
      </c>
      <c r="E21" s="59">
        <f t="shared" si="3"/>
        <v>39628150434.268311</v>
      </c>
      <c r="F21" s="59">
        <f t="shared" si="3"/>
        <v>39017555775.541618</v>
      </c>
      <c r="G21" s="59">
        <f t="shared" si="3"/>
        <v>38369592723.700851</v>
      </c>
      <c r="H21" s="59">
        <f t="shared" si="3"/>
        <v>37681974333.087433</v>
      </c>
      <c r="I21" s="59">
        <f t="shared" si="3"/>
        <v>36952273696.968468</v>
      </c>
      <c r="J21" s="59">
        <f t="shared" si="3"/>
        <v>36177915381.919022</v>
      </c>
      <c r="K21" s="59">
        <f t="shared" si="3"/>
        <v>35356166337.988556</v>
      </c>
      <c r="L21" s="59">
        <f t="shared" si="3"/>
        <v>34484126252.569542</v>
      </c>
      <c r="M21" s="59">
        <f t="shared" si="3"/>
        <v>33558717313.922886</v>
      </c>
      <c r="N21" s="59">
        <f t="shared" si="3"/>
        <v>32576673348.231052</v>
      </c>
      <c r="O21" s="59">
        <f t="shared" si="3"/>
        <v>31534528291.838879</v>
      </c>
      <c r="P21" s="59">
        <f t="shared" si="3"/>
        <v>30428603957.995506</v>
      </c>
      <c r="Q21" s="59">
        <f t="shared" si="3"/>
        <v>29254997054.920918</v>
      </c>
      <c r="R21" s="59">
        <f t="shared" si="3"/>
        <v>28009565409.378166</v>
      </c>
      <c r="S21" s="59">
        <f t="shared" si="3"/>
        <v>26687913347.128197</v>
      </c>
      <c r="T21" s="59">
        <f t="shared" si="3"/>
        <v>25285376178.66853</v>
      </c>
      <c r="U21" s="59">
        <f t="shared" si="3"/>
        <v>23797003735.49913</v>
      </c>
      <c r="V21" s="59">
        <f t="shared" si="3"/>
        <v>22217542898.807766</v>
      </c>
      <c r="W21" s="59">
        <f t="shared" si="3"/>
        <v>20541419058.910889</v>
      </c>
      <c r="X21" s="59">
        <f t="shared" si="3"/>
        <v>18762716440.012321</v>
      </c>
      <c r="Y21" s="59">
        <f t="shared" si="3"/>
        <v>16875157220.837162</v>
      </c>
      <c r="Z21" s="59">
        <f t="shared" si="3"/>
        <v>14872079377.448484</v>
      </c>
      <c r="AA21" s="59">
        <f t="shared" si="3"/>
        <v>12746413170.044418</v>
      </c>
      <c r="AB21" s="59">
        <f t="shared" si="3"/>
        <v>10490656190.747223</v>
      </c>
      <c r="AC21" s="59">
        <f t="shared" si="3"/>
        <v>8096846884.3170404</v>
      </c>
      <c r="AD21" s="59">
        <f t="shared" si="3"/>
        <v>5556536448.3333302</v>
      </c>
      <c r="AE21" s="59">
        <f t="shared" si="3"/>
        <v>2860759013.6674175</v>
      </c>
      <c r="AF21" s="59">
        <f t="shared" si="3"/>
        <v>-4.9114227294921875E-5</v>
      </c>
    </row>
    <row r="22" spans="1:32" x14ac:dyDescent="0.25">
      <c r="A22" s="572" t="s">
        <v>660</v>
      </c>
      <c r="B22" s="59">
        <f>-B21</f>
        <v>-41256660364.919998</v>
      </c>
      <c r="C22" s="59">
        <f>C18</f>
        <v>3035837465.3039126</v>
      </c>
      <c r="D22" s="59">
        <f>D18</f>
        <v>3035837465.3039126</v>
      </c>
      <c r="E22" s="59">
        <f>E18</f>
        <v>3035837465.3039126</v>
      </c>
      <c r="F22" s="59">
        <f>F18</f>
        <v>3035837465.3039126</v>
      </c>
      <c r="G22" s="59">
        <f>G18</f>
        <v>3035837465.3039126</v>
      </c>
      <c r="H22" s="59">
        <f t="shared" ref="H22:AF22" si="4">H18</f>
        <v>3035837465.3039126</v>
      </c>
      <c r="I22" s="59">
        <f t="shared" si="4"/>
        <v>3035837465.3039126</v>
      </c>
      <c r="J22" s="59">
        <f t="shared" si="4"/>
        <v>3035837465.3039126</v>
      </c>
      <c r="K22" s="59">
        <f t="shared" si="4"/>
        <v>3035837465.3039126</v>
      </c>
      <c r="L22" s="59">
        <f t="shared" si="4"/>
        <v>3035837465.3039126</v>
      </c>
      <c r="M22" s="59">
        <f t="shared" si="4"/>
        <v>3035837465.3039126</v>
      </c>
      <c r="N22" s="59">
        <f t="shared" si="4"/>
        <v>3035837465.3039126</v>
      </c>
      <c r="O22" s="59">
        <f t="shared" si="4"/>
        <v>3035837465.3039126</v>
      </c>
      <c r="P22" s="59">
        <f t="shared" si="4"/>
        <v>3035837465.3039126</v>
      </c>
      <c r="Q22" s="59">
        <f t="shared" si="4"/>
        <v>3035837465.3039126</v>
      </c>
      <c r="R22" s="59">
        <f t="shared" si="4"/>
        <v>3035837465.3039126</v>
      </c>
      <c r="S22" s="59">
        <f t="shared" si="4"/>
        <v>3035837465.3039126</v>
      </c>
      <c r="T22" s="59">
        <f t="shared" si="4"/>
        <v>3035837465.3039126</v>
      </c>
      <c r="U22" s="59">
        <f t="shared" si="4"/>
        <v>3035837465.3039126</v>
      </c>
      <c r="V22" s="59">
        <f t="shared" si="4"/>
        <v>3035837465.3039126</v>
      </c>
      <c r="W22" s="59">
        <f t="shared" si="4"/>
        <v>3035837465.3039126</v>
      </c>
      <c r="X22" s="59">
        <f t="shared" si="4"/>
        <v>3035837465.3039126</v>
      </c>
      <c r="Y22" s="59">
        <f t="shared" si="4"/>
        <v>3035837465.3039126</v>
      </c>
      <c r="Z22" s="59">
        <f t="shared" si="4"/>
        <v>3035837465.3039126</v>
      </c>
      <c r="AA22" s="59">
        <f t="shared" si="4"/>
        <v>3035837465.3039126</v>
      </c>
      <c r="AB22" s="59">
        <f t="shared" si="4"/>
        <v>3035837465.3039126</v>
      </c>
      <c r="AC22" s="59">
        <f t="shared" si="4"/>
        <v>3035837465.3039126</v>
      </c>
      <c r="AD22" s="59">
        <f t="shared" si="4"/>
        <v>3035837465.3039126</v>
      </c>
      <c r="AE22" s="59">
        <f t="shared" si="4"/>
        <v>3035837465.3039126</v>
      </c>
      <c r="AF22" s="59">
        <f t="shared" si="4"/>
        <v>3035837465.3039126</v>
      </c>
    </row>
    <row r="23" spans="1:32" x14ac:dyDescent="0.25">
      <c r="A23" s="572" t="s">
        <v>661</v>
      </c>
      <c r="B23" s="59">
        <f>B6*B11</f>
        <v>412566603.64919996</v>
      </c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</row>
    <row r="24" spans="1:32" x14ac:dyDescent="0.25">
      <c r="A24" s="572" t="s">
        <v>662</v>
      </c>
      <c r="B24" s="61">
        <v>0</v>
      </c>
      <c r="C24" s="61">
        <f>-(C19+B23)*$B$13</f>
        <v>-969366491.93416023</v>
      </c>
      <c r="D24" s="61">
        <f>-(D19+C23)*$B$13</f>
        <v>-822900773.45971775</v>
      </c>
      <c r="E24" s="61">
        <f>-(E19+D23)*$B$13</f>
        <v>-811950527.34617472</v>
      </c>
      <c r="F24" s="61">
        <f>-(F19+E23)*$B$13</f>
        <v>-800330126.17048275</v>
      </c>
      <c r="G24" s="61">
        <f>-(G19+F23)*$B$13</f>
        <v>-787998556.44283855</v>
      </c>
      <c r="H24" s="61">
        <f t="shared" ref="H24:AF24" si="5">-(H19+G23)*$B$13</f>
        <v>-774912294.64786243</v>
      </c>
      <c r="I24" s="61">
        <f t="shared" si="5"/>
        <v>-761025153.63103378</v>
      </c>
      <c r="J24" s="61">
        <f t="shared" si="5"/>
        <v>-746288119.5839752</v>
      </c>
      <c r="K24" s="61">
        <f t="shared" si="5"/>
        <v>-730649179.0532366</v>
      </c>
      <c r="L24" s="61">
        <f t="shared" si="5"/>
        <v>-714053135.36201692</v>
      </c>
      <c r="M24" s="61">
        <f t="shared" si="5"/>
        <v>-696441413.79689443</v>
      </c>
      <c r="N24" s="61">
        <f t="shared" si="5"/>
        <v>-677751854.87198663</v>
      </c>
      <c r="O24" s="61">
        <f t="shared" si="5"/>
        <v>-657918494.94087434</v>
      </c>
      <c r="P24" s="61">
        <f t="shared" si="5"/>
        <v>-636871333.38197803</v>
      </c>
      <c r="Q24" s="61">
        <f t="shared" si="5"/>
        <v>-614536085.53567719</v>
      </c>
      <c r="R24" s="61">
        <f t="shared" si="5"/>
        <v>-590833920.52118289</v>
      </c>
      <c r="S24" s="61">
        <f t="shared" si="5"/>
        <v>-565681183.00780141</v>
      </c>
      <c r="T24" s="61">
        <f t="shared" si="5"/>
        <v>-538989097.95860112</v>
      </c>
      <c r="U24" s="61">
        <f t="shared" si="5"/>
        <v>-510663457.3043896</v>
      </c>
      <c r="V24" s="61">
        <f t="shared" si="5"/>
        <v>-480604287.4421404</v>
      </c>
      <c r="W24" s="61">
        <f t="shared" si="5"/>
        <v>-448705496.38432163</v>
      </c>
      <c r="X24" s="61">
        <f t="shared" si="5"/>
        <v>-414854499.31376433</v>
      </c>
      <c r="Y24" s="61">
        <f t="shared" si="5"/>
        <v>-378931821.22248888</v>
      </c>
      <c r="Z24" s="61">
        <f t="shared" si="5"/>
        <v>-340810675.23202735</v>
      </c>
      <c r="AA24" s="61">
        <f t="shared" si="5"/>
        <v>-300356515.10694957</v>
      </c>
      <c r="AB24" s="61">
        <f t="shared" si="5"/>
        <v>-257426560.38221708</v>
      </c>
      <c r="AC24" s="61">
        <f t="shared" si="5"/>
        <v>-211869292.42833093</v>
      </c>
      <c r="AD24" s="61">
        <f t="shared" si="5"/>
        <v>-163523919.67566693</v>
      </c>
      <c r="AE24" s="61">
        <f t="shared" si="5"/>
        <v>-112219810.11053993</v>
      </c>
      <c r="AF24" s="61">
        <f t="shared" si="5"/>
        <v>-57775889.040027164</v>
      </c>
    </row>
    <row r="25" spans="1:32" x14ac:dyDescent="0.25">
      <c r="A25" s="576" t="s">
        <v>663</v>
      </c>
      <c r="B25" s="63">
        <f t="shared" ref="B25:G25" si="6">SUM(B22:B24)</f>
        <v>-40844093761.270798</v>
      </c>
      <c r="C25" s="63">
        <f t="shared" si="6"/>
        <v>2066470973.3697524</v>
      </c>
      <c r="D25" s="63">
        <f t="shared" si="6"/>
        <v>2212936691.8441949</v>
      </c>
      <c r="E25" s="63">
        <f t="shared" si="6"/>
        <v>2223886937.9577379</v>
      </c>
      <c r="F25" s="63">
        <f t="shared" si="6"/>
        <v>2235507339.13343</v>
      </c>
      <c r="G25" s="63">
        <f t="shared" si="6"/>
        <v>2247838908.861074</v>
      </c>
      <c r="H25" s="63">
        <f t="shared" ref="H25:AF25" si="7">SUM(H22:H24)</f>
        <v>2260925170.6560502</v>
      </c>
      <c r="I25" s="63">
        <f t="shared" si="7"/>
        <v>2274812311.6728787</v>
      </c>
      <c r="J25" s="63">
        <f t="shared" si="7"/>
        <v>2289549345.7199373</v>
      </c>
      <c r="K25" s="63">
        <f t="shared" si="7"/>
        <v>2305188286.2506762</v>
      </c>
      <c r="L25" s="63">
        <f t="shared" si="7"/>
        <v>2321784329.9418955</v>
      </c>
      <c r="M25" s="63">
        <f t="shared" si="7"/>
        <v>2339396051.5070181</v>
      </c>
      <c r="N25" s="63">
        <f t="shared" si="7"/>
        <v>2358085610.4319258</v>
      </c>
      <c r="O25" s="63">
        <f t="shared" si="7"/>
        <v>2377918970.3630381</v>
      </c>
      <c r="P25" s="63">
        <f t="shared" si="7"/>
        <v>2398966131.9219346</v>
      </c>
      <c r="Q25" s="63">
        <f t="shared" si="7"/>
        <v>2421301379.7682352</v>
      </c>
      <c r="R25" s="63">
        <f t="shared" si="7"/>
        <v>2445003544.7827296</v>
      </c>
      <c r="S25" s="63">
        <f t="shared" si="7"/>
        <v>2470156282.2961111</v>
      </c>
      <c r="T25" s="63">
        <f t="shared" si="7"/>
        <v>2496848367.3453116</v>
      </c>
      <c r="U25" s="63">
        <f t="shared" si="7"/>
        <v>2525174007.9995232</v>
      </c>
      <c r="V25" s="63">
        <f t="shared" si="7"/>
        <v>2555233177.8617721</v>
      </c>
      <c r="W25" s="63">
        <f t="shared" si="7"/>
        <v>2587131968.919591</v>
      </c>
      <c r="X25" s="63">
        <f t="shared" si="7"/>
        <v>2620982965.9901485</v>
      </c>
      <c r="Y25" s="63">
        <f t="shared" si="7"/>
        <v>2656905644.0814238</v>
      </c>
      <c r="Z25" s="63">
        <f t="shared" si="7"/>
        <v>2695026790.0718851</v>
      </c>
      <c r="AA25" s="63">
        <f t="shared" si="7"/>
        <v>2735480950.1969633</v>
      </c>
      <c r="AB25" s="63">
        <f t="shared" si="7"/>
        <v>2778410904.9216957</v>
      </c>
      <c r="AC25" s="63">
        <f t="shared" si="7"/>
        <v>2823968172.8755817</v>
      </c>
      <c r="AD25" s="63">
        <f t="shared" si="7"/>
        <v>2872313545.6282458</v>
      </c>
      <c r="AE25" s="63">
        <f t="shared" si="7"/>
        <v>2923617655.1933727</v>
      </c>
      <c r="AF25" s="63">
        <f t="shared" si="7"/>
        <v>2978061576.2638855</v>
      </c>
    </row>
    <row r="26" spans="1:32" ht="15.75" x14ac:dyDescent="0.3">
      <c r="B26" s="40"/>
      <c r="C26" s="40"/>
      <c r="D26" s="40"/>
      <c r="E26" s="40"/>
      <c r="F26" s="40"/>
      <c r="G26" s="40"/>
      <c r="H26" s="36"/>
      <c r="I26" s="36"/>
      <c r="J26" s="36"/>
    </row>
    <row r="27" spans="1:32" ht="15.75" x14ac:dyDescent="0.3">
      <c r="A27" s="571" t="s">
        <v>664</v>
      </c>
      <c r="B27" s="50">
        <f>IRR(B25:AF25)</f>
        <v>4.1543497132434659E-2</v>
      </c>
      <c r="C27" s="40" t="s">
        <v>73</v>
      </c>
      <c r="D27" s="40"/>
      <c r="E27" s="40"/>
      <c r="F27" s="40"/>
      <c r="G27" s="40"/>
      <c r="H27" s="36"/>
      <c r="I27" s="36"/>
      <c r="J27" s="36"/>
    </row>
    <row r="28" spans="1:32" ht="15.75" x14ac:dyDescent="0.3">
      <c r="B28" s="41"/>
      <c r="C28" s="41"/>
      <c r="D28" s="40"/>
      <c r="E28" s="40"/>
      <c r="F28" s="40"/>
      <c r="G28" s="40"/>
      <c r="H28" s="35"/>
      <c r="I28" s="35"/>
      <c r="J28" s="35"/>
    </row>
    <row r="29" spans="1:32" ht="15.75" x14ac:dyDescent="0.3">
      <c r="A29" s="571"/>
      <c r="B29" s="40"/>
      <c r="C29" s="40"/>
      <c r="D29" s="40"/>
      <c r="E29" s="40"/>
      <c r="F29" s="40"/>
      <c r="G29" s="40"/>
      <c r="H29" s="35"/>
      <c r="I29" s="35"/>
      <c r="J29" s="35"/>
    </row>
    <row r="30" spans="1:32" ht="15.75" x14ac:dyDescent="0.3">
      <c r="A30" s="571" t="s">
        <v>665</v>
      </c>
      <c r="B30" s="40"/>
      <c r="C30" s="40"/>
      <c r="D30" s="40"/>
      <c r="E30" s="40"/>
      <c r="F30" s="40"/>
      <c r="G30" s="40"/>
      <c r="H30" s="35"/>
      <c r="I30" s="35"/>
      <c r="J30" s="35"/>
    </row>
    <row r="31" spans="1:32" ht="15.75" thickBot="1" x14ac:dyDescent="0.3">
      <c r="B31" s="41"/>
      <c r="C31" s="41"/>
      <c r="D31" s="41"/>
      <c r="E31" s="41"/>
      <c r="F31" s="41"/>
      <c r="G31" s="41"/>
    </row>
    <row r="32" spans="1:32" x14ac:dyDescent="0.25">
      <c r="A32" s="577" t="s">
        <v>72</v>
      </c>
      <c r="B32" s="413">
        <v>0</v>
      </c>
      <c r="C32" s="413">
        <v>1</v>
      </c>
      <c r="D32" s="413">
        <v>2</v>
      </c>
      <c r="E32" s="413">
        <v>3</v>
      </c>
      <c r="F32" s="413">
        <v>4</v>
      </c>
      <c r="G32" s="414">
        <v>5</v>
      </c>
      <c r="H32" s="413">
        <v>6</v>
      </c>
      <c r="I32" s="414">
        <v>7</v>
      </c>
      <c r="J32" s="413">
        <v>8</v>
      </c>
      <c r="K32" s="414">
        <v>9</v>
      </c>
      <c r="L32" s="413">
        <v>10</v>
      </c>
      <c r="M32" s="414">
        <v>11</v>
      </c>
      <c r="N32" s="413">
        <v>12</v>
      </c>
      <c r="O32" s="414">
        <v>13</v>
      </c>
      <c r="P32" s="413">
        <v>14</v>
      </c>
      <c r="Q32" s="414">
        <v>15</v>
      </c>
      <c r="R32" s="413">
        <v>16</v>
      </c>
      <c r="S32" s="414">
        <v>17</v>
      </c>
      <c r="T32" s="413">
        <v>18</v>
      </c>
      <c r="U32" s="414">
        <v>19</v>
      </c>
      <c r="V32" s="413">
        <v>20</v>
      </c>
      <c r="W32" s="414">
        <v>21</v>
      </c>
      <c r="X32" s="413">
        <v>22</v>
      </c>
      <c r="Y32" s="414">
        <v>23</v>
      </c>
      <c r="Z32" s="413">
        <v>24</v>
      </c>
      <c r="AA32" s="414">
        <v>25</v>
      </c>
      <c r="AB32" s="413">
        <v>26</v>
      </c>
      <c r="AC32" s="414">
        <v>27</v>
      </c>
      <c r="AD32" s="413">
        <v>28</v>
      </c>
      <c r="AE32" s="414">
        <v>29</v>
      </c>
      <c r="AF32" s="414">
        <v>30</v>
      </c>
    </row>
    <row r="33" spans="1:32" ht="15.75" thickBot="1" x14ac:dyDescent="0.3">
      <c r="A33" s="578" t="s">
        <v>666</v>
      </c>
      <c r="B33" s="72">
        <f t="shared" ref="B33:AF33" si="8">-B25</f>
        <v>40844093761.270798</v>
      </c>
      <c r="C33" s="72">
        <f t="shared" si="8"/>
        <v>-2066470973.3697524</v>
      </c>
      <c r="D33" s="72">
        <f t="shared" si="8"/>
        <v>-2212936691.8441949</v>
      </c>
      <c r="E33" s="72">
        <f t="shared" si="8"/>
        <v>-2223886937.9577379</v>
      </c>
      <c r="F33" s="72">
        <f t="shared" si="8"/>
        <v>-2235507339.13343</v>
      </c>
      <c r="G33" s="73">
        <f t="shared" si="8"/>
        <v>-2247838908.861074</v>
      </c>
      <c r="H33" s="73">
        <f t="shared" si="8"/>
        <v>-2260925170.6560502</v>
      </c>
      <c r="I33" s="73">
        <f t="shared" si="8"/>
        <v>-2274812311.6728787</v>
      </c>
      <c r="J33" s="73">
        <f t="shared" si="8"/>
        <v>-2289549345.7199373</v>
      </c>
      <c r="K33" s="73">
        <f t="shared" si="8"/>
        <v>-2305188286.2506762</v>
      </c>
      <c r="L33" s="73">
        <f t="shared" si="8"/>
        <v>-2321784329.9418955</v>
      </c>
      <c r="M33" s="73">
        <f t="shared" si="8"/>
        <v>-2339396051.5070181</v>
      </c>
      <c r="N33" s="73">
        <f t="shared" si="8"/>
        <v>-2358085610.4319258</v>
      </c>
      <c r="O33" s="73">
        <f t="shared" si="8"/>
        <v>-2377918970.3630381</v>
      </c>
      <c r="P33" s="73">
        <f t="shared" si="8"/>
        <v>-2398966131.9219346</v>
      </c>
      <c r="Q33" s="73">
        <f t="shared" si="8"/>
        <v>-2421301379.7682352</v>
      </c>
      <c r="R33" s="73">
        <f t="shared" si="8"/>
        <v>-2445003544.7827296</v>
      </c>
      <c r="S33" s="73">
        <f t="shared" si="8"/>
        <v>-2470156282.2961111</v>
      </c>
      <c r="T33" s="73">
        <f t="shared" si="8"/>
        <v>-2496848367.3453116</v>
      </c>
      <c r="U33" s="73">
        <f t="shared" si="8"/>
        <v>-2525174007.9995232</v>
      </c>
      <c r="V33" s="73">
        <f t="shared" si="8"/>
        <v>-2555233177.8617721</v>
      </c>
      <c r="W33" s="73">
        <f t="shared" si="8"/>
        <v>-2587131968.919591</v>
      </c>
      <c r="X33" s="73">
        <f t="shared" si="8"/>
        <v>-2620982965.9901485</v>
      </c>
      <c r="Y33" s="73">
        <f t="shared" si="8"/>
        <v>-2656905644.0814238</v>
      </c>
      <c r="Z33" s="73">
        <f t="shared" si="8"/>
        <v>-2695026790.0718851</v>
      </c>
      <c r="AA33" s="73">
        <f t="shared" si="8"/>
        <v>-2735480950.1969633</v>
      </c>
      <c r="AB33" s="73">
        <f t="shared" si="8"/>
        <v>-2778410904.9216957</v>
      </c>
      <c r="AC33" s="73">
        <f t="shared" si="8"/>
        <v>-2823968172.8755817</v>
      </c>
      <c r="AD33" s="73">
        <f t="shared" si="8"/>
        <v>-2872313545.6282458</v>
      </c>
      <c r="AE33" s="73">
        <f t="shared" si="8"/>
        <v>-2923617655.1933727</v>
      </c>
      <c r="AF33" s="73">
        <f t="shared" si="8"/>
        <v>-2978061576.2638855</v>
      </c>
    </row>
    <row r="34" spans="1:32" ht="15.75" x14ac:dyDescent="0.3">
      <c r="A34" s="579"/>
      <c r="B34" s="36"/>
      <c r="C34" s="36"/>
      <c r="D34" s="36"/>
      <c r="E34" s="36"/>
      <c r="F34" s="36"/>
      <c r="G34" s="36"/>
      <c r="I34" s="36"/>
    </row>
    <row r="35" spans="1:32" ht="14.25" customHeight="1" x14ac:dyDescent="0.25"/>
    <row r="36" spans="1:32" ht="15.75" x14ac:dyDescent="0.3">
      <c r="A36" s="579"/>
      <c r="B36" s="35"/>
      <c r="C36" s="35"/>
      <c r="D36" s="35"/>
    </row>
    <row r="37" spans="1:32" ht="15.75" x14ac:dyDescent="0.3">
      <c r="A37" s="580"/>
      <c r="B37" s="35"/>
      <c r="C37" s="35"/>
      <c r="D37" s="35"/>
    </row>
    <row r="38" spans="1:32" ht="15.75" x14ac:dyDescent="0.3">
      <c r="A38" s="579"/>
      <c r="B38" s="39"/>
      <c r="C38" s="39"/>
      <c r="D38" s="39"/>
    </row>
    <row r="39" spans="1:32" ht="15.75" x14ac:dyDescent="0.3">
      <c r="A39" s="580"/>
      <c r="B39" s="35"/>
      <c r="C39" s="38"/>
      <c r="D39" s="37"/>
    </row>
    <row r="40" spans="1:32" ht="15.75" x14ac:dyDescent="0.3">
      <c r="A40" s="580"/>
      <c r="B40" s="35"/>
      <c r="C40" s="38"/>
      <c r="D40" s="37"/>
    </row>
    <row r="41" spans="1:32" ht="15.75" x14ac:dyDescent="0.3">
      <c r="A41" s="579"/>
      <c r="B41" s="36"/>
      <c r="C41" s="35"/>
      <c r="D41" s="34"/>
    </row>
    <row r="42" spans="1:32" ht="15.75" x14ac:dyDescent="0.3">
      <c r="A42" s="580"/>
      <c r="B42" s="35"/>
      <c r="C42" s="35"/>
      <c r="D42" s="35"/>
    </row>
    <row r="43" spans="1:32" ht="15.75" x14ac:dyDescent="0.3">
      <c r="A43" s="580"/>
      <c r="B43" s="35"/>
      <c r="C43" s="37"/>
      <c r="D43" s="37"/>
    </row>
    <row r="44" spans="1:32" ht="15.75" x14ac:dyDescent="0.3">
      <c r="A44" s="580"/>
      <c r="B44" s="35"/>
      <c r="C44" s="37"/>
      <c r="D44" s="37"/>
    </row>
    <row r="45" spans="1:32" ht="15.75" x14ac:dyDescent="0.3">
      <c r="A45" s="579"/>
      <c r="B45" s="36"/>
      <c r="C45" s="35"/>
      <c r="D45" s="34"/>
    </row>
  </sheetData>
  <customSheetViews>
    <customSheetView guid="{4855CA7E-D0E4-4BAE-B28F-C7B8E2548C7E}" topLeftCell="A18">
      <selection activeCell="AF33" sqref="AF33"/>
      <pageMargins left="0.7" right="0.7" top="0.75" bottom="0.75" header="0.3" footer="0.3"/>
      <pageSetup orientation="portrait"/>
    </customSheetView>
    <customSheetView guid="{8877400E-0ED9-40F2-B6D2-591D7CFEBFC1}" topLeftCell="A18">
      <selection activeCell="AF33" sqref="AF33"/>
      <pageMargins left="0.7" right="0.7" top="0.75" bottom="0.75" header="0.3" footer="0.3"/>
      <pageSetup orientation="portrait"/>
    </customSheetView>
  </customSheetViews>
  <mergeCells count="1">
    <mergeCell ref="D6:E6"/>
  </mergeCells>
  <pageMargins left="0.7" right="0.7" top="0.75" bottom="0.75" header="0.3" footer="0.3"/>
  <pageSetup scale="69" fitToWidth="3" orientation="landscape" r:id="rId1"/>
  <headerFooter>
    <oddHeader>&amp;C&amp;F-&amp;A-&amp;P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1"/>
  <sheetViews>
    <sheetView view="pageBreakPreview" zoomScale="120" zoomScaleNormal="50" zoomScaleSheetLayoutView="120" workbookViewId="0">
      <selection activeCell="F20" sqref="F20"/>
    </sheetView>
  </sheetViews>
  <sheetFormatPr baseColWidth="10" defaultRowHeight="15" x14ac:dyDescent="0.25"/>
  <cols>
    <col min="1" max="1" width="25" style="453" customWidth="1"/>
    <col min="2" max="2" width="16.85546875" style="453" bestFit="1" customWidth="1"/>
    <col min="3" max="4" width="17.85546875" bestFit="1" customWidth="1"/>
    <col min="5" max="5" width="19.28515625" bestFit="1" customWidth="1"/>
    <col min="6" max="7" width="16.85546875" bestFit="1" customWidth="1"/>
    <col min="8" max="8" width="16.42578125" bestFit="1" customWidth="1"/>
    <col min="9" max="9" width="17" bestFit="1" customWidth="1"/>
    <col min="10" max="10" width="16.85546875" bestFit="1" customWidth="1"/>
    <col min="11" max="15" width="15.85546875" bestFit="1" customWidth="1"/>
    <col min="16" max="16" width="18.28515625" bestFit="1" customWidth="1"/>
    <col min="17" max="17" width="16.7109375" bestFit="1" customWidth="1"/>
    <col min="18" max="33" width="16.42578125" bestFit="1" customWidth="1"/>
  </cols>
  <sheetData>
    <row r="1" spans="1:33" x14ac:dyDescent="0.25">
      <c r="A1" s="581"/>
      <c r="B1" s="582"/>
      <c r="C1" s="18"/>
      <c r="J1" s="13"/>
      <c r="K1" s="16"/>
      <c r="L1" s="13"/>
    </row>
    <row r="2" spans="1:33" s="453" customFormat="1" x14ac:dyDescent="0.25">
      <c r="A2" s="549"/>
      <c r="B2" s="583" t="s">
        <v>2</v>
      </c>
      <c r="C2" s="549" t="s">
        <v>0</v>
      </c>
      <c r="D2" s="549" t="s">
        <v>1</v>
      </c>
      <c r="E2" s="549" t="s">
        <v>32</v>
      </c>
      <c r="F2" s="549" t="s">
        <v>673</v>
      </c>
      <c r="G2" s="549" t="s">
        <v>674</v>
      </c>
      <c r="H2" s="549" t="s">
        <v>675</v>
      </c>
      <c r="J2" s="591"/>
      <c r="K2" s="591"/>
      <c r="L2" s="590"/>
    </row>
    <row r="3" spans="1:33" x14ac:dyDescent="0.25">
      <c r="A3" s="549" t="s">
        <v>30</v>
      </c>
      <c r="B3" s="584">
        <v>30</v>
      </c>
      <c r="C3" s="92">
        <v>1</v>
      </c>
      <c r="D3" s="93">
        <f>+ACTUALMENTE!D44*C3</f>
        <v>170748797</v>
      </c>
      <c r="E3" s="93">
        <f>+D3*0</f>
        <v>0</v>
      </c>
      <c r="F3" s="93">
        <f>+E3</f>
        <v>0</v>
      </c>
      <c r="G3" s="93">
        <f>+F3*0.33</f>
        <v>0</v>
      </c>
      <c r="H3" s="94">
        <f>+F3-G3</f>
        <v>0</v>
      </c>
      <c r="J3" s="13"/>
      <c r="K3" s="16"/>
      <c r="L3" s="16"/>
    </row>
    <row r="4" spans="1:33" ht="30" x14ac:dyDescent="0.25">
      <c r="A4" s="585" t="s">
        <v>667</v>
      </c>
      <c r="B4" s="584">
        <v>30</v>
      </c>
      <c r="C4" s="92">
        <v>1</v>
      </c>
      <c r="D4" s="232">
        <f>+NPV(ACTUALMENTE!P28,ACTUALMENTE!A15:AG15)</f>
        <v>42917543357.465675</v>
      </c>
      <c r="E4" s="93">
        <f>+D4*0</f>
        <v>0</v>
      </c>
      <c r="F4" s="93">
        <f>+E4</f>
        <v>0</v>
      </c>
      <c r="G4" s="93">
        <f>+F4*0.33</f>
        <v>0</v>
      </c>
      <c r="H4" s="94">
        <f>+F4-G4</f>
        <v>0</v>
      </c>
      <c r="J4" s="16"/>
      <c r="K4" s="16"/>
      <c r="L4" s="16"/>
    </row>
    <row r="5" spans="1:33" x14ac:dyDescent="0.25">
      <c r="A5" s="549" t="s">
        <v>33</v>
      </c>
      <c r="B5" s="584"/>
      <c r="C5" s="92"/>
      <c r="D5" s="93">
        <f>+ACTUALMENTE!D43</f>
        <v>27563854.500000004</v>
      </c>
      <c r="E5" s="94">
        <f>+D5*1.3</f>
        <v>35833010.850000009</v>
      </c>
      <c r="F5" s="93">
        <v>0</v>
      </c>
      <c r="G5" s="93">
        <v>0</v>
      </c>
      <c r="H5" s="94">
        <f>+E5</f>
        <v>35833010.850000009</v>
      </c>
    </row>
    <row r="6" spans="1:33" x14ac:dyDescent="0.25">
      <c r="A6" s="549" t="s">
        <v>668</v>
      </c>
      <c r="B6" s="584"/>
      <c r="C6" s="92"/>
      <c r="D6" s="93"/>
      <c r="E6" s="95">
        <v>0</v>
      </c>
      <c r="F6" s="93">
        <v>0</v>
      </c>
      <c r="G6" s="93">
        <v>0</v>
      </c>
      <c r="H6" s="95">
        <f>+E6</f>
        <v>0</v>
      </c>
    </row>
    <row r="7" spans="1:33" x14ac:dyDescent="0.25">
      <c r="A7" s="549"/>
      <c r="B7" s="549"/>
      <c r="C7" s="25"/>
      <c r="D7" s="26"/>
      <c r="E7" s="27"/>
      <c r="F7" s="14"/>
      <c r="G7" s="14" t="s">
        <v>38</v>
      </c>
      <c r="H7" s="19">
        <f>SUM(H3:H6)</f>
        <v>35833010.850000009</v>
      </c>
      <c r="Q7" s="2">
        <f>Q10/2</f>
        <v>0</v>
      </c>
    </row>
    <row r="8" spans="1:33" ht="18.75" x14ac:dyDescent="0.3">
      <c r="A8" s="586" t="s">
        <v>669</v>
      </c>
      <c r="B8" s="587"/>
      <c r="C8" s="146">
        <v>1999</v>
      </c>
      <c r="D8" s="106">
        <v>2000</v>
      </c>
      <c r="E8" s="106">
        <v>2001</v>
      </c>
      <c r="F8" s="106">
        <v>2002</v>
      </c>
      <c r="G8" s="106">
        <v>2003</v>
      </c>
      <c r="H8" s="106">
        <v>2004</v>
      </c>
      <c r="I8" s="106">
        <v>2005</v>
      </c>
      <c r="J8" s="106">
        <v>2006</v>
      </c>
      <c r="K8" s="106">
        <v>2007</v>
      </c>
      <c r="L8" s="106">
        <v>2008</v>
      </c>
      <c r="M8" s="106">
        <v>2009</v>
      </c>
      <c r="N8" s="106">
        <v>2010</v>
      </c>
      <c r="O8" s="106">
        <v>2011</v>
      </c>
      <c r="P8" s="106">
        <v>2012</v>
      </c>
      <c r="Q8" s="106">
        <v>2013</v>
      </c>
      <c r="R8" s="106">
        <v>2014</v>
      </c>
      <c r="S8" s="106">
        <v>2015</v>
      </c>
      <c r="T8" s="106">
        <v>2016</v>
      </c>
      <c r="U8" s="106">
        <v>2017</v>
      </c>
      <c r="V8" s="106">
        <v>2018</v>
      </c>
      <c r="W8" s="106">
        <v>2019</v>
      </c>
      <c r="X8" s="106">
        <v>2020</v>
      </c>
      <c r="Y8" s="106">
        <v>2021</v>
      </c>
      <c r="Z8" s="106">
        <v>2022</v>
      </c>
      <c r="AA8" s="106">
        <v>2023</v>
      </c>
      <c r="AB8" s="106">
        <v>2024</v>
      </c>
      <c r="AC8" s="106">
        <v>2025</v>
      </c>
      <c r="AD8" s="106">
        <v>2026</v>
      </c>
      <c r="AE8" s="106">
        <v>2027</v>
      </c>
      <c r="AF8" s="106">
        <v>2028</v>
      </c>
      <c r="AG8" s="106">
        <v>2029</v>
      </c>
    </row>
    <row r="9" spans="1:33" x14ac:dyDescent="0.25">
      <c r="A9" s="549"/>
      <c r="B9" s="549"/>
      <c r="C9" s="14">
        <v>0</v>
      </c>
      <c r="D9" s="14">
        <v>1</v>
      </c>
      <c r="E9" s="14">
        <v>2</v>
      </c>
      <c r="F9" s="14">
        <v>3</v>
      </c>
      <c r="G9" s="14">
        <v>4</v>
      </c>
      <c r="H9" s="14">
        <v>5</v>
      </c>
      <c r="I9" s="14">
        <v>6</v>
      </c>
      <c r="J9" s="14">
        <v>7</v>
      </c>
      <c r="K9" s="14">
        <v>8</v>
      </c>
      <c r="L9" s="14">
        <v>9</v>
      </c>
      <c r="M9" s="14">
        <v>10</v>
      </c>
      <c r="N9" s="14">
        <v>11</v>
      </c>
      <c r="O9" s="14">
        <v>12</v>
      </c>
      <c r="P9" s="14">
        <v>13</v>
      </c>
      <c r="Q9" s="14">
        <v>14</v>
      </c>
      <c r="R9" s="14">
        <v>15</v>
      </c>
      <c r="S9" s="14">
        <v>16</v>
      </c>
      <c r="T9" s="14">
        <v>17</v>
      </c>
      <c r="U9" s="14">
        <v>18</v>
      </c>
      <c r="V9" s="14">
        <v>19</v>
      </c>
      <c r="W9" s="14">
        <v>20</v>
      </c>
      <c r="X9" s="14">
        <v>21</v>
      </c>
      <c r="Y9" s="14">
        <v>22</v>
      </c>
      <c r="Z9" s="14">
        <v>23</v>
      </c>
      <c r="AA9" s="14">
        <v>24</v>
      </c>
      <c r="AB9" s="14">
        <v>25</v>
      </c>
      <c r="AC9" s="14">
        <v>26</v>
      </c>
      <c r="AD9" s="14">
        <v>27</v>
      </c>
      <c r="AE9" s="14">
        <v>28</v>
      </c>
      <c r="AF9" s="14">
        <v>29</v>
      </c>
      <c r="AG9" s="14">
        <v>30</v>
      </c>
    </row>
    <row r="10" spans="1:33" ht="30" x14ac:dyDescent="0.25">
      <c r="A10" s="585" t="s">
        <v>667</v>
      </c>
      <c r="B10" s="584"/>
      <c r="C10" s="279">
        <f>+NPV(ACTUALMENTE!P28,ACTUALMENTE!A15:AG15)/B4</f>
        <v>1430584778.5821891</v>
      </c>
      <c r="D10" s="94">
        <f>+NPV(ACTUALMENTE!P28,ACTUALMENTE!A15:AG15)/$B$4</f>
        <v>1430584778.5821891</v>
      </c>
      <c r="E10" s="94">
        <f>+NPV(ACTUALMENTE!P28,ACTUALMENTE!A15:AG15)/$B$4</f>
        <v>1430584778.5821891</v>
      </c>
      <c r="F10" s="94">
        <f>+NPV(ACTUALMENTE!P28,ACTUALMENTE!A15:AG15)/$B$4</f>
        <v>1430584778.5821891</v>
      </c>
      <c r="G10" s="94">
        <f>+NPV(ACTUALMENTE!P28,ACTUALMENTE!A15:AG15)/$B$4</f>
        <v>1430584778.5821891</v>
      </c>
      <c r="H10" s="94">
        <f>+NPV(ACTUALMENTE!P28,ACTUALMENTE!A15:AG15)/$B$4</f>
        <v>1430584778.5821891</v>
      </c>
      <c r="I10" s="94">
        <f>+NPV(ACTUALMENTE!P28,ACTUALMENTE!A15:AG15)/$B$4</f>
        <v>1430584778.5821891</v>
      </c>
      <c r="J10" s="94">
        <f>+NPV(ACTUALMENTE!P28,ACTUALMENTE!A15:AG15)/$B$4</f>
        <v>1430584778.5821891</v>
      </c>
      <c r="K10" s="94">
        <f>+NPV(ACTUALMENTE!P28,ACTUALMENTE!A15:AG15)/$B$4</f>
        <v>1430584778.5821891</v>
      </c>
      <c r="L10" s="94">
        <f>+NPV(ACTUALMENTE!P28,ACTUALMENTE!A15:AG15)/$B$4</f>
        <v>1430584778.5821891</v>
      </c>
      <c r="M10" s="94">
        <f>+NPV(ACTUALMENTE!P28,ACTUALMENTE!A15:AG15)/$B$4</f>
        <v>1430584778.5821891</v>
      </c>
      <c r="N10" s="94">
        <f>+NPV(ACTUALMENTE!P28,ACTUALMENTE!A15:AG15)/$B$4</f>
        <v>1430584778.5821891</v>
      </c>
      <c r="O10" s="94">
        <f>+NPV(ACTUALMENTE!P28,ACTUALMENTE!A15:AG15)/$B$4</f>
        <v>1430584778.5821891</v>
      </c>
      <c r="P10" s="94">
        <f>+NPV(ACTUALMENTE!P28,ACTUALMENTE!A15:AG15)/$B$4</f>
        <v>1430584778.5821891</v>
      </c>
      <c r="Q10" s="94">
        <f>+IF('F de CP'!$A$36=2,'Dep y Dif ACTUALMENTE'!$P$10,0)</f>
        <v>0</v>
      </c>
      <c r="R10" s="94">
        <f>+IF('F de CP'!$A$36=2,'Dep y Dif ACTUALMENTE'!$P$10,0)</f>
        <v>0</v>
      </c>
      <c r="S10" s="94">
        <f>+IF('F de CP'!$A$36=2,'Dep y Dif ACTUALMENTE'!$P$10,0)</f>
        <v>0</v>
      </c>
      <c r="T10" s="94">
        <f>+IF('F de CP'!$A$36=2,'Dep y Dif ACTUALMENTE'!$P$10,0)</f>
        <v>0</v>
      </c>
      <c r="U10" s="94">
        <f>+IF('F de CP'!$A$36=2,'Dep y Dif ACTUALMENTE'!$P$10,0)</f>
        <v>0</v>
      </c>
      <c r="V10" s="94">
        <f>+IF('F de CP'!$A$36=2,'Dep y Dif ACTUALMENTE'!$P$10,0)</f>
        <v>0</v>
      </c>
      <c r="W10" s="94">
        <f>+IF('F de CP'!$A$36=2,'Dep y Dif ACTUALMENTE'!$P$10,0)</f>
        <v>0</v>
      </c>
      <c r="X10" s="94">
        <f>+IF('F de CP'!$A$36=2,'Dep y Dif ACTUALMENTE'!$P$10,0)</f>
        <v>0</v>
      </c>
      <c r="Y10" s="94">
        <f>+IF('F de CP'!$A$36=2,'Dep y Dif ACTUALMENTE'!$P$10,0)</f>
        <v>0</v>
      </c>
      <c r="Z10" s="94">
        <f>+IF('F de CP'!$A$36=2,'Dep y Dif ACTUALMENTE'!$P$10,0)</f>
        <v>0</v>
      </c>
      <c r="AA10" s="94">
        <f>+IF('F de CP'!$A$36=2,'Dep y Dif ACTUALMENTE'!$P$10,0)</f>
        <v>0</v>
      </c>
      <c r="AB10" s="94">
        <f>+IF('F de CP'!$A$36=2,'Dep y Dif ACTUALMENTE'!$P$10,0)</f>
        <v>0</v>
      </c>
      <c r="AC10" s="94">
        <f>+IF('F de CP'!$A$36=2,'Dep y Dif ACTUALMENTE'!$P$10,0)</f>
        <v>0</v>
      </c>
      <c r="AD10" s="94">
        <f>+IF('F de CP'!$A$36=2,'Dep y Dif ACTUALMENTE'!$P$10,0)</f>
        <v>0</v>
      </c>
      <c r="AE10" s="94">
        <f>+IF('F de CP'!$A$36=2,'Dep y Dif ACTUALMENTE'!$P$10,0)</f>
        <v>0</v>
      </c>
      <c r="AF10" s="94">
        <f>+IF('F de CP'!$A$36=2,'Dep y Dif ACTUALMENTE'!$P$10,0)</f>
        <v>0</v>
      </c>
      <c r="AG10" s="94">
        <f>+IF('F de CP'!$A$36=2,'Dep y Dif ACTUALMENTE'!$P$10,0)</f>
        <v>0</v>
      </c>
    </row>
    <row r="11" spans="1:33" x14ac:dyDescent="0.25">
      <c r="A11" s="549" t="s">
        <v>670</v>
      </c>
      <c r="B11" s="584"/>
      <c r="C11" s="15"/>
      <c r="D11" s="94">
        <f t="shared" ref="D11:AG11" si="0">+C11+D10</f>
        <v>1430584778.5821891</v>
      </c>
      <c r="E11" s="94">
        <f t="shared" si="0"/>
        <v>2861169557.1643782</v>
      </c>
      <c r="F11" s="94">
        <f t="shared" si="0"/>
        <v>4291754335.7465672</v>
      </c>
      <c r="G11" s="94">
        <f t="shared" si="0"/>
        <v>5722339114.3287563</v>
      </c>
      <c r="H11" s="94">
        <f t="shared" si="0"/>
        <v>7152923892.9109459</v>
      </c>
      <c r="I11" s="94">
        <f t="shared" si="0"/>
        <v>8583508671.4931355</v>
      </c>
      <c r="J11" s="94">
        <f t="shared" si="0"/>
        <v>10014093450.075325</v>
      </c>
      <c r="K11" s="94">
        <f t="shared" si="0"/>
        <v>11444678228.657515</v>
      </c>
      <c r="L11" s="94">
        <f t="shared" si="0"/>
        <v>12875263007.239704</v>
      </c>
      <c r="M11" s="94">
        <f t="shared" si="0"/>
        <v>14305847785.821894</v>
      </c>
      <c r="N11" s="94">
        <f t="shared" si="0"/>
        <v>15736432564.404083</v>
      </c>
      <c r="O11" s="94">
        <f t="shared" si="0"/>
        <v>17167017342.986273</v>
      </c>
      <c r="P11" s="94">
        <f t="shared" si="0"/>
        <v>18597602121.568462</v>
      </c>
      <c r="Q11" s="94">
        <f t="shared" si="0"/>
        <v>18597602121.568462</v>
      </c>
      <c r="R11" s="94">
        <f t="shared" si="0"/>
        <v>18597602121.568462</v>
      </c>
      <c r="S11" s="94">
        <f t="shared" si="0"/>
        <v>18597602121.568462</v>
      </c>
      <c r="T11" s="94">
        <f t="shared" si="0"/>
        <v>18597602121.568462</v>
      </c>
      <c r="U11" s="94">
        <f t="shared" si="0"/>
        <v>18597602121.568462</v>
      </c>
      <c r="V11" s="94">
        <f t="shared" si="0"/>
        <v>18597602121.568462</v>
      </c>
      <c r="W11" s="94">
        <f t="shared" si="0"/>
        <v>18597602121.568462</v>
      </c>
      <c r="X11" s="94">
        <f t="shared" si="0"/>
        <v>18597602121.568462</v>
      </c>
      <c r="Y11" s="94">
        <f t="shared" si="0"/>
        <v>18597602121.568462</v>
      </c>
      <c r="Z11" s="94">
        <f t="shared" si="0"/>
        <v>18597602121.568462</v>
      </c>
      <c r="AA11" s="94">
        <f t="shared" si="0"/>
        <v>18597602121.568462</v>
      </c>
      <c r="AB11" s="94">
        <f t="shared" si="0"/>
        <v>18597602121.568462</v>
      </c>
      <c r="AC11" s="94">
        <f t="shared" si="0"/>
        <v>18597602121.568462</v>
      </c>
      <c r="AD11" s="94">
        <f t="shared" si="0"/>
        <v>18597602121.568462</v>
      </c>
      <c r="AE11" s="94">
        <f t="shared" si="0"/>
        <v>18597602121.568462</v>
      </c>
      <c r="AF11" s="94">
        <f t="shared" si="0"/>
        <v>18597602121.568462</v>
      </c>
      <c r="AG11" s="94">
        <f t="shared" si="0"/>
        <v>18597602121.568462</v>
      </c>
    </row>
    <row r="12" spans="1:33" x14ac:dyDescent="0.25">
      <c r="A12" s="549" t="s">
        <v>31</v>
      </c>
      <c r="B12" s="584"/>
      <c r="C12" s="94">
        <f>NPV(ACTUALMENTE!P28,ACTUALMENTE!$A$15:$AG$15)</f>
        <v>42917543357.465675</v>
      </c>
      <c r="D12" s="94">
        <f>C12-D10</f>
        <v>41486958578.883484</v>
      </c>
      <c r="E12" s="94">
        <f t="shared" ref="E12:AG12" si="1">D12-E10</f>
        <v>40056373800.301292</v>
      </c>
      <c r="F12" s="94">
        <f t="shared" si="1"/>
        <v>38625789021.719101</v>
      </c>
      <c r="G12" s="94">
        <f t="shared" si="1"/>
        <v>37195204243.136909</v>
      </c>
      <c r="H12" s="94">
        <f t="shared" si="1"/>
        <v>35764619464.554718</v>
      </c>
      <c r="I12" s="94">
        <f t="shared" si="1"/>
        <v>34334034685.97253</v>
      </c>
      <c r="J12" s="94">
        <f t="shared" si="1"/>
        <v>32903449907.390343</v>
      </c>
      <c r="K12" s="94">
        <f t="shared" si="1"/>
        <v>31472865128.808155</v>
      </c>
      <c r="L12" s="94">
        <f t="shared" si="1"/>
        <v>30042280350.225967</v>
      </c>
      <c r="M12" s="94">
        <f t="shared" si="1"/>
        <v>28611695571.64378</v>
      </c>
      <c r="N12" s="94">
        <f t="shared" si="1"/>
        <v>27181110793.061592</v>
      </c>
      <c r="O12" s="94">
        <f t="shared" si="1"/>
        <v>25750526014.479404</v>
      </c>
      <c r="P12" s="94">
        <f t="shared" si="1"/>
        <v>24319941235.897217</v>
      </c>
      <c r="Q12" s="94">
        <f t="shared" si="1"/>
        <v>24319941235.897217</v>
      </c>
      <c r="R12" s="94">
        <f t="shared" si="1"/>
        <v>24319941235.897217</v>
      </c>
      <c r="S12" s="94">
        <f t="shared" si="1"/>
        <v>24319941235.897217</v>
      </c>
      <c r="T12" s="94">
        <f t="shared" si="1"/>
        <v>24319941235.897217</v>
      </c>
      <c r="U12" s="94">
        <f t="shared" si="1"/>
        <v>24319941235.897217</v>
      </c>
      <c r="V12" s="94">
        <f t="shared" si="1"/>
        <v>24319941235.897217</v>
      </c>
      <c r="W12" s="94">
        <f t="shared" si="1"/>
        <v>24319941235.897217</v>
      </c>
      <c r="X12" s="94">
        <f t="shared" si="1"/>
        <v>24319941235.897217</v>
      </c>
      <c r="Y12" s="94">
        <f t="shared" si="1"/>
        <v>24319941235.897217</v>
      </c>
      <c r="Z12" s="94">
        <f t="shared" si="1"/>
        <v>24319941235.897217</v>
      </c>
      <c r="AA12" s="94">
        <f t="shared" si="1"/>
        <v>24319941235.897217</v>
      </c>
      <c r="AB12" s="94">
        <f t="shared" si="1"/>
        <v>24319941235.897217</v>
      </c>
      <c r="AC12" s="94">
        <f t="shared" si="1"/>
        <v>24319941235.897217</v>
      </c>
      <c r="AD12" s="94">
        <f t="shared" si="1"/>
        <v>24319941235.897217</v>
      </c>
      <c r="AE12" s="94">
        <f t="shared" si="1"/>
        <v>24319941235.897217</v>
      </c>
      <c r="AF12" s="94">
        <f t="shared" si="1"/>
        <v>24319941235.897217</v>
      </c>
      <c r="AG12" s="94">
        <f t="shared" si="1"/>
        <v>24319941235.897217</v>
      </c>
    </row>
    <row r="13" spans="1:33" x14ac:dyDescent="0.25">
      <c r="H13" s="23"/>
      <c r="I13" s="23"/>
      <c r="J13" s="23"/>
      <c r="P13" s="280"/>
      <c r="Q13" s="2"/>
    </row>
    <row r="14" spans="1:33" x14ac:dyDescent="0.25">
      <c r="B14" s="453" t="s">
        <v>34</v>
      </c>
      <c r="C14">
        <v>0</v>
      </c>
      <c r="D14">
        <v>1</v>
      </c>
      <c r="E14">
        <v>2</v>
      </c>
      <c r="F14">
        <v>3</v>
      </c>
      <c r="G14">
        <v>4</v>
      </c>
      <c r="H14" s="23">
        <v>5</v>
      </c>
      <c r="I14">
        <v>6</v>
      </c>
      <c r="J14" s="23">
        <v>7</v>
      </c>
      <c r="K14">
        <v>8</v>
      </c>
      <c r="L14" s="23">
        <v>9</v>
      </c>
      <c r="M14">
        <v>10</v>
      </c>
      <c r="N14" s="23">
        <v>11</v>
      </c>
      <c r="O14">
        <v>12</v>
      </c>
      <c r="P14" s="23">
        <v>13</v>
      </c>
      <c r="Q14">
        <v>14</v>
      </c>
      <c r="R14" s="23">
        <v>15</v>
      </c>
      <c r="S14">
        <v>16</v>
      </c>
      <c r="T14" s="23">
        <v>17</v>
      </c>
      <c r="U14">
        <v>18</v>
      </c>
      <c r="V14" s="23">
        <v>19</v>
      </c>
      <c r="W14">
        <v>20</v>
      </c>
      <c r="X14" s="23">
        <v>21</v>
      </c>
      <c r="Y14">
        <v>22</v>
      </c>
      <c r="Z14" s="23">
        <v>23</v>
      </c>
      <c r="AA14">
        <v>24</v>
      </c>
      <c r="AB14" s="23">
        <v>25</v>
      </c>
      <c r="AC14">
        <v>26</v>
      </c>
      <c r="AD14" s="23">
        <v>27</v>
      </c>
      <c r="AE14">
        <v>28</v>
      </c>
      <c r="AF14" s="23">
        <v>29</v>
      </c>
      <c r="AG14">
        <v>30</v>
      </c>
    </row>
    <row r="15" spans="1:33" x14ac:dyDescent="0.25">
      <c r="A15" s="588" t="s">
        <v>671</v>
      </c>
      <c r="B15" s="589">
        <v>0.05</v>
      </c>
      <c r="C15" s="87"/>
      <c r="D15" s="87">
        <f>+ACTUALMENTE!D10*$B$15</f>
        <v>615460231.5179013</v>
      </c>
      <c r="E15" s="87">
        <f>+ACTUALMENTE!E10*$B$15</f>
        <v>725034711.08098888</v>
      </c>
      <c r="F15" s="87">
        <f>+ACTUALMENTE!F10*$B$15</f>
        <v>863997892.79216003</v>
      </c>
      <c r="G15" s="87">
        <f>+ACTUALMENTE!G10*$B$15</f>
        <v>1047978887.0785897</v>
      </c>
      <c r="H15" s="87">
        <f>+ACTUALMENTE!H10*$B$15</f>
        <v>1000901555.3255755</v>
      </c>
      <c r="I15" s="87">
        <f>+ACTUALMENTE!I10*$B$15</f>
        <v>902861497.18918347</v>
      </c>
      <c r="J15" s="87">
        <f>+ACTUALMENTE!J10*$B$15</f>
        <v>968157135.8636378</v>
      </c>
      <c r="K15" s="87">
        <f>+ACTUALMENTE!K10*$B$15</f>
        <v>864285942.99682486</v>
      </c>
      <c r="L15" s="87">
        <f>+ACTUALMENTE!L10*$B$15</f>
        <v>891245471.23970366</v>
      </c>
      <c r="M15" s="87">
        <f>+ACTUALMENTE!M10*$B$15</f>
        <v>955869541.84876788</v>
      </c>
      <c r="N15" s="87">
        <f>+ACTUALMENTE!N10*$B$15</f>
        <v>878153984.89759314</v>
      </c>
      <c r="O15" s="87">
        <f>+ACTUALMENTE!O10*$B$15</f>
        <v>926705955.76009238</v>
      </c>
      <c r="P15" s="87">
        <f>+ACTUALMENTE!P10*$B$15</f>
        <v>1000329269.3180943</v>
      </c>
      <c r="Q15" s="87">
        <f>+ACTUALMENTE!Q10*$B$15</f>
        <v>1057853905.9219853</v>
      </c>
      <c r="R15" s="87">
        <f>+ACTUALMENTE!R10*$B$15</f>
        <v>1122260381.6555798</v>
      </c>
      <c r="S15" s="87">
        <f>+ACTUALMENTE!S10*$B$15</f>
        <v>1190588673.2929647</v>
      </c>
      <c r="T15" s="87">
        <f>+ACTUALMENTE!T10*$B$15</f>
        <v>1263077602.1916921</v>
      </c>
      <c r="U15" s="87">
        <f>+ACTUALMENTE!U10*$B$15</f>
        <v>1339980533.3785982</v>
      </c>
      <c r="V15" s="87">
        <f>+ACTUALMENTE!V10*$B$15</f>
        <v>1421566261.241616</v>
      </c>
      <c r="W15" s="87">
        <f>+ACTUALMENTE!W10*$B$15</f>
        <v>1508119949.1596603</v>
      </c>
      <c r="X15" s="87">
        <f>+ACTUALMENTE!X10*$B$15</f>
        <v>1599944126.3553836</v>
      </c>
      <c r="Y15" s="87">
        <f>+ACTUALMENTE!Y10*$B$15</f>
        <v>1697359745.455667</v>
      </c>
      <c r="Z15" s="87">
        <f>+ACTUALMENTE!Z10*$B$15</f>
        <v>1800707304.4569254</v>
      </c>
      <c r="AA15" s="87">
        <f>+ACTUALMENTE!AA10*$B$15</f>
        <v>1910348037.017457</v>
      </c>
      <c r="AB15" s="87">
        <f>+ACTUALMENTE!AB10*$B$15</f>
        <v>2026665175.2379358</v>
      </c>
      <c r="AC15" s="87">
        <f>+ACTUALMENTE!AC10*$B$15</f>
        <v>2150065289.3445578</v>
      </c>
      <c r="AD15" s="87">
        <f>+ACTUALMENTE!AD10*$B$15</f>
        <v>2280979708.9581809</v>
      </c>
      <c r="AE15" s="87">
        <f>+ACTUALMENTE!AE10*$B$15</f>
        <v>2419866030.918035</v>
      </c>
      <c r="AF15" s="87">
        <f>+ACTUALMENTE!AF10*$B$15</f>
        <v>2567209718.9311423</v>
      </c>
      <c r="AG15" s="87">
        <f>+ACTUALMENTE!AG10*$B$15</f>
        <v>2723525800.6396141</v>
      </c>
    </row>
    <row r="16" spans="1:33" x14ac:dyDescent="0.25">
      <c r="A16" s="588" t="s">
        <v>672</v>
      </c>
      <c r="B16" s="590"/>
      <c r="C16" s="96"/>
      <c r="D16" s="96">
        <f>+D15</f>
        <v>615460231.5179013</v>
      </c>
      <c r="E16" s="96">
        <f t="shared" ref="E16:AG16" si="2">+E15-D15</f>
        <v>109574479.56308758</v>
      </c>
      <c r="F16" s="96">
        <f t="shared" si="2"/>
        <v>138963181.71117115</v>
      </c>
      <c r="G16" s="96">
        <f t="shared" si="2"/>
        <v>183980994.28642964</v>
      </c>
      <c r="H16" s="96">
        <f t="shared" si="2"/>
        <v>-47077331.753014207</v>
      </c>
      <c r="I16" s="96">
        <f t="shared" si="2"/>
        <v>-98040058.136391997</v>
      </c>
      <c r="J16" s="96">
        <f t="shared" si="2"/>
        <v>65295638.674454331</v>
      </c>
      <c r="K16" s="96">
        <f t="shared" si="2"/>
        <v>-103871192.86681294</v>
      </c>
      <c r="L16" s="96">
        <f t="shared" si="2"/>
        <v>26959528.242878795</v>
      </c>
      <c r="M16" s="96">
        <f t="shared" si="2"/>
        <v>64624070.609064221</v>
      </c>
      <c r="N16" s="96">
        <f t="shared" si="2"/>
        <v>-77715556.951174736</v>
      </c>
      <c r="O16" s="96">
        <f t="shared" si="2"/>
        <v>48551970.862499237</v>
      </c>
      <c r="P16" s="96">
        <f t="shared" si="2"/>
        <v>73623313.558001876</v>
      </c>
      <c r="Q16" s="96">
        <f t="shared" si="2"/>
        <v>57524636.603891015</v>
      </c>
      <c r="R16" s="96">
        <f t="shared" si="2"/>
        <v>64406475.733594537</v>
      </c>
      <c r="S16" s="96">
        <f t="shared" si="2"/>
        <v>68328291.637384892</v>
      </c>
      <c r="T16" s="96">
        <f t="shared" si="2"/>
        <v>72488928.898727417</v>
      </c>
      <c r="U16" s="96">
        <f t="shared" si="2"/>
        <v>76902931.186906099</v>
      </c>
      <c r="V16" s="96">
        <f t="shared" si="2"/>
        <v>81585727.863017797</v>
      </c>
      <c r="W16" s="96">
        <f t="shared" si="2"/>
        <v>86553687.918044329</v>
      </c>
      <c r="X16" s="96">
        <f t="shared" si="2"/>
        <v>91824177.195723295</v>
      </c>
      <c r="Y16" s="96">
        <f t="shared" si="2"/>
        <v>97415619.100283384</v>
      </c>
      <c r="Z16" s="96">
        <f t="shared" si="2"/>
        <v>103347559.00125837</v>
      </c>
      <c r="AA16" s="96">
        <f t="shared" si="2"/>
        <v>109640732.56053162</v>
      </c>
      <c r="AB16" s="96">
        <f t="shared" si="2"/>
        <v>116317138.22047877</v>
      </c>
      <c r="AC16" s="96">
        <f t="shared" si="2"/>
        <v>123400114.10662198</v>
      </c>
      <c r="AD16" s="96">
        <f t="shared" si="2"/>
        <v>130914419.61362314</v>
      </c>
      <c r="AE16" s="96">
        <f t="shared" si="2"/>
        <v>138886321.95985413</v>
      </c>
      <c r="AF16" s="96">
        <f t="shared" si="2"/>
        <v>147343688.0131073</v>
      </c>
      <c r="AG16" s="96">
        <f t="shared" si="2"/>
        <v>156316081.70847178</v>
      </c>
    </row>
    <row r="17" spans="2:33" x14ac:dyDescent="0.25">
      <c r="B17" s="590"/>
      <c r="C17" s="16"/>
      <c r="D17" s="16"/>
      <c r="E17" s="16"/>
      <c r="F17" s="16"/>
      <c r="G17" s="16"/>
      <c r="H17" s="97"/>
      <c r="I17" s="97"/>
      <c r="J17" s="97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</row>
    <row r="18" spans="2:33" x14ac:dyDescent="0.25">
      <c r="C18">
        <v>0</v>
      </c>
      <c r="D18">
        <v>1999</v>
      </c>
      <c r="E18">
        <f>+D18+1</f>
        <v>2000</v>
      </c>
      <c r="F18">
        <f t="shared" ref="F18:AG18" si="3">+E18+1</f>
        <v>2001</v>
      </c>
      <c r="G18">
        <f t="shared" si="3"/>
        <v>2002</v>
      </c>
      <c r="H18">
        <f t="shared" si="3"/>
        <v>2003</v>
      </c>
      <c r="I18">
        <f t="shared" si="3"/>
        <v>2004</v>
      </c>
      <c r="J18">
        <f t="shared" si="3"/>
        <v>2005</v>
      </c>
      <c r="K18">
        <f t="shared" si="3"/>
        <v>2006</v>
      </c>
      <c r="L18">
        <f t="shared" si="3"/>
        <v>2007</v>
      </c>
      <c r="M18">
        <f t="shared" si="3"/>
        <v>2008</v>
      </c>
      <c r="N18">
        <f t="shared" si="3"/>
        <v>2009</v>
      </c>
      <c r="O18">
        <f t="shared" si="3"/>
        <v>2010</v>
      </c>
      <c r="P18">
        <f t="shared" si="3"/>
        <v>2011</v>
      </c>
      <c r="Q18">
        <f t="shared" si="3"/>
        <v>2012</v>
      </c>
      <c r="R18">
        <f t="shared" si="3"/>
        <v>2013</v>
      </c>
      <c r="S18">
        <f t="shared" si="3"/>
        <v>2014</v>
      </c>
      <c r="T18">
        <f t="shared" si="3"/>
        <v>2015</v>
      </c>
      <c r="U18">
        <f t="shared" si="3"/>
        <v>2016</v>
      </c>
      <c r="V18">
        <f t="shared" si="3"/>
        <v>2017</v>
      </c>
      <c r="W18">
        <f t="shared" si="3"/>
        <v>2018</v>
      </c>
      <c r="X18">
        <f t="shared" si="3"/>
        <v>2019</v>
      </c>
      <c r="Y18">
        <f t="shared" si="3"/>
        <v>2020</v>
      </c>
      <c r="Z18">
        <f t="shared" si="3"/>
        <v>2021</v>
      </c>
      <c r="AA18">
        <f t="shared" si="3"/>
        <v>2022</v>
      </c>
      <c r="AB18">
        <f t="shared" si="3"/>
        <v>2023</v>
      </c>
      <c r="AC18">
        <f t="shared" si="3"/>
        <v>2024</v>
      </c>
      <c r="AD18">
        <f t="shared" si="3"/>
        <v>2025</v>
      </c>
      <c r="AE18">
        <f t="shared" si="3"/>
        <v>2026</v>
      </c>
      <c r="AF18">
        <f t="shared" si="3"/>
        <v>2027</v>
      </c>
      <c r="AG18">
        <f t="shared" si="3"/>
        <v>2028</v>
      </c>
    </row>
    <row r="19" spans="2:33" x14ac:dyDescent="0.25">
      <c r="D19" s="234">
        <f>+NPV(ACTUALMENTE!$P$28,ACTUALMENTE!$A$15:$AG$15)/D14</f>
        <v>42917543357.465675</v>
      </c>
      <c r="E19" s="234">
        <f>+NPV(ACTUALMENTE!$P$28,ACTUALMENTE!$A$15:$AG$15)/E14</f>
        <v>21458771678.732838</v>
      </c>
      <c r="F19" s="234">
        <f>+NPV(ACTUALMENTE!$P$28,ACTUALMENTE!$A$15:$AG$15)/F14</f>
        <v>14305847785.821892</v>
      </c>
      <c r="G19" s="234">
        <f>+NPV(ACTUALMENTE!$P$28,ACTUALMENTE!$A$15:$AG$15)/G14</f>
        <v>10729385839.366419</v>
      </c>
      <c r="H19" s="234">
        <f>+NPV(ACTUALMENTE!$P$28,ACTUALMENTE!$A$15:$AG$15)/H14</f>
        <v>8583508671.4931355</v>
      </c>
      <c r="I19" s="234">
        <f>+NPV(ACTUALMENTE!$P$28,ACTUALMENTE!$A$15:$AG$15)/I14</f>
        <v>7152923892.9109459</v>
      </c>
      <c r="J19" s="234">
        <f>+NPV(ACTUALMENTE!$P$28,ACTUALMENTE!$A$15:$AG$15)/J14</f>
        <v>6131077622.4950962</v>
      </c>
      <c r="K19" s="234">
        <f>+NPV(ACTUALMENTE!$P$28,ACTUALMENTE!$A$15:$AG$15)/K14</f>
        <v>5364692919.6832094</v>
      </c>
      <c r="L19" s="234">
        <f>+NPV(ACTUALMENTE!$P$28,ACTUALMENTE!$A$15:$AG$15)/L14</f>
        <v>4768615928.6072969</v>
      </c>
      <c r="M19" s="234">
        <f>+NPV(ACTUALMENTE!$P$28,ACTUALMENTE!$A$15:$AG$15)/M14</f>
        <v>4291754335.7465677</v>
      </c>
      <c r="N19" s="234">
        <f>+NPV(ACTUALMENTE!$P$28,ACTUALMENTE!$A$15:$AG$15)/N14</f>
        <v>3901594850.6786976</v>
      </c>
      <c r="O19" s="234">
        <f>+NPV(ACTUALMENTE!$P$28,ACTUALMENTE!$A$15:$AG$15)/O14</f>
        <v>3576461946.4554729</v>
      </c>
      <c r="P19" s="234">
        <f>+NPV(ACTUALMENTE!$P$28,ACTUALMENTE!$A$15:$AG$15)/P14</f>
        <v>3301349489.035821</v>
      </c>
      <c r="Q19" s="234">
        <f>+NPV(ACTUALMENTE!$P$28,ACTUALMENTE!$A$15:$AG$15)/Q14</f>
        <v>3065538811.2475481</v>
      </c>
      <c r="R19" s="234">
        <f>+NPV(ACTUALMENTE!$P$28,ACTUALMENTE!$A$15:$AG$15)/R14</f>
        <v>2861169557.1643782</v>
      </c>
      <c r="S19" s="234">
        <f>+NPV(ACTUALMENTE!$P$28,ACTUALMENTE!$A$15:$AG$15)/S14</f>
        <v>2682346459.8416047</v>
      </c>
      <c r="T19" s="234">
        <f>+NPV(ACTUALMENTE!$P$28,ACTUALMENTE!$A$15:$AG$15)/T14</f>
        <v>2524561373.9685693</v>
      </c>
      <c r="U19" s="234">
        <f>+NPV(ACTUALMENTE!$P$28,ACTUALMENTE!$A$15:$AG$15)/U14</f>
        <v>2384307964.3036485</v>
      </c>
      <c r="V19" s="234">
        <f>+NPV(ACTUALMENTE!$P$28,ACTUALMENTE!$A$15:$AG$15)/V14</f>
        <v>2258818071.4455619</v>
      </c>
      <c r="W19" s="234">
        <f>+NPV(ACTUALMENTE!$P$28,ACTUALMENTE!$A$15:$AG$15)/W14</f>
        <v>2145877167.8732839</v>
      </c>
      <c r="X19" s="234">
        <f>+NPV(ACTUALMENTE!$P$28,ACTUALMENTE!$A$15:$AG$15)/X14</f>
        <v>2043692540.8316989</v>
      </c>
      <c r="Y19" s="234">
        <f>+NPV(ACTUALMENTE!$P$28,ACTUALMENTE!$A$15:$AG$15)/Y14</f>
        <v>1950797425.3393488</v>
      </c>
      <c r="Z19" s="234">
        <f>+NPV(ACTUALMENTE!$P$28,ACTUALMENTE!$A$15:$AG$15)/Z14</f>
        <v>1865980145.9767685</v>
      </c>
      <c r="AA19" s="234">
        <f>+NPV(ACTUALMENTE!$P$28,ACTUALMENTE!$A$15:$AG$15)/AA14</f>
        <v>1788230973.2277365</v>
      </c>
      <c r="AB19" s="234">
        <f>+NPV(ACTUALMENTE!$P$28,ACTUALMENTE!$A$15:$AG$15)/AB14</f>
        <v>1716701734.2986269</v>
      </c>
      <c r="AC19" s="234">
        <f>+NPV(ACTUALMENTE!$P$28,ACTUALMENTE!$A$15:$AG$15)/AC14</f>
        <v>1650674744.5179105</v>
      </c>
      <c r="AD19" s="234">
        <f>+NPV(ACTUALMENTE!$P$28,ACTUALMENTE!$A$15:$AG$15)/AD14</f>
        <v>1589538642.8690991</v>
      </c>
      <c r="AE19" s="234">
        <f>+NPV(ACTUALMENTE!$P$28,ACTUALMENTE!$A$15:$AG$15)/AE14</f>
        <v>1532769405.6237741</v>
      </c>
      <c r="AF19" s="234">
        <f>+NPV(ACTUALMENTE!$P$28,ACTUALMENTE!$A$15:$AG$15)/AF14</f>
        <v>1479915288.1884716</v>
      </c>
      <c r="AG19" s="234">
        <f>+NPV(ACTUALMENTE!$P$28,ACTUALMENTE!$A$15:$AG$15)/AG14</f>
        <v>1430584778.5821891</v>
      </c>
    </row>
    <row r="20" spans="2:33" x14ac:dyDescent="0.25">
      <c r="D20" s="415"/>
      <c r="E20" s="376"/>
    </row>
    <row r="21" spans="2:33" x14ac:dyDescent="0.25">
      <c r="E21" s="415"/>
    </row>
  </sheetData>
  <customSheetViews>
    <customSheetView guid="{4855CA7E-D0E4-4BAE-B28F-C7B8E2548C7E}">
      <selection activeCell="B2" sqref="B2"/>
      <pageMargins left="0.7" right="0.7" top="0.75" bottom="0.75" header="0.3" footer="0.3"/>
      <pageSetup orientation="portrait"/>
    </customSheetView>
    <customSheetView guid="{8877400E-0ED9-40F2-B6D2-591D7CFEBFC1}">
      <selection activeCell="B2" sqref="B2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fitToWidth="3" orientation="landscape" r:id="rId1"/>
  <headerFooter>
    <oddHeader>&amp;C&amp;F-&amp;A-&amp;P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B106"/>
  <sheetViews>
    <sheetView zoomScale="110" zoomScaleNormal="110" workbookViewId="0">
      <pane ySplit="1" topLeftCell="A41" activePane="bottomLeft" state="frozen"/>
      <selection pane="bottomLeft" activeCell="C72" sqref="C72"/>
    </sheetView>
  </sheetViews>
  <sheetFormatPr baseColWidth="10" defaultRowHeight="15" x14ac:dyDescent="0.25"/>
  <cols>
    <col min="1" max="1" width="41.42578125" style="453" customWidth="1"/>
    <col min="2" max="2" width="40.85546875" style="453" customWidth="1"/>
    <col min="3" max="5" width="19.42578125" customWidth="1"/>
    <col min="6" max="7" width="21.28515625" bestFit="1" customWidth="1"/>
    <col min="8" max="8" width="19.42578125" customWidth="1"/>
    <col min="9" max="10" width="20.42578125" bestFit="1" customWidth="1"/>
    <col min="11" max="11" width="20.28515625" bestFit="1" customWidth="1"/>
    <col min="12" max="14" width="19.42578125" customWidth="1"/>
    <col min="15" max="23" width="21.42578125" bestFit="1" customWidth="1"/>
    <col min="24" max="32" width="19.42578125" bestFit="1" customWidth="1"/>
    <col min="33" max="33" width="17.140625" bestFit="1" customWidth="1"/>
    <col min="34" max="45" width="16.28515625" bestFit="1" customWidth="1"/>
    <col min="46" max="49" width="17" bestFit="1" customWidth="1"/>
    <col min="50" max="50" width="12.5703125" bestFit="1" customWidth="1"/>
    <col min="51" max="54" width="16.28515625" bestFit="1" customWidth="1"/>
  </cols>
  <sheetData>
    <row r="1" spans="1:54" x14ac:dyDescent="0.25">
      <c r="C1" s="176">
        <v>1999</v>
      </c>
      <c r="D1" s="177">
        <v>2000</v>
      </c>
      <c r="E1" s="177">
        <v>2001</v>
      </c>
      <c r="F1" s="177">
        <v>2002</v>
      </c>
      <c r="G1" s="177">
        <v>2003</v>
      </c>
      <c r="H1" s="177">
        <v>2004</v>
      </c>
      <c r="I1" s="177">
        <v>2005</v>
      </c>
      <c r="J1" s="177">
        <v>2006</v>
      </c>
      <c r="K1" s="177">
        <v>2007</v>
      </c>
      <c r="L1" s="177">
        <v>2008</v>
      </c>
      <c r="M1" s="177">
        <v>2009</v>
      </c>
      <c r="N1" s="177">
        <v>2010</v>
      </c>
      <c r="O1" s="177">
        <v>2011</v>
      </c>
      <c r="P1" s="177">
        <v>2012</v>
      </c>
      <c r="Q1" s="177">
        <v>2013</v>
      </c>
      <c r="R1" s="177">
        <v>2014</v>
      </c>
      <c r="S1" s="177">
        <v>2015</v>
      </c>
      <c r="T1" s="177">
        <v>2016</v>
      </c>
      <c r="U1" s="177">
        <v>2017</v>
      </c>
      <c r="V1" s="177">
        <v>2018</v>
      </c>
      <c r="W1" s="177">
        <v>2019</v>
      </c>
      <c r="X1" s="177">
        <v>2020</v>
      </c>
      <c r="Y1" s="177">
        <v>2021</v>
      </c>
      <c r="Z1" s="177">
        <v>2022</v>
      </c>
      <c r="AA1" s="177">
        <v>2023</v>
      </c>
      <c r="AB1" s="177">
        <v>2024</v>
      </c>
      <c r="AC1" s="177">
        <v>2025</v>
      </c>
      <c r="AD1" s="177">
        <v>2026</v>
      </c>
      <c r="AE1" s="177">
        <v>2027</v>
      </c>
      <c r="AF1" s="177">
        <v>2028</v>
      </c>
      <c r="AG1" s="178">
        <v>2029</v>
      </c>
      <c r="AH1" s="177">
        <v>2030</v>
      </c>
      <c r="AI1" s="178">
        <v>2031</v>
      </c>
      <c r="AJ1" s="177">
        <v>2032</v>
      </c>
      <c r="AK1" s="178">
        <v>2033</v>
      </c>
      <c r="AL1" s="177">
        <v>2034</v>
      </c>
      <c r="AM1" s="178">
        <v>2035</v>
      </c>
      <c r="AN1" s="177">
        <v>2036</v>
      </c>
      <c r="AO1" s="178">
        <v>2037</v>
      </c>
      <c r="AP1" s="177">
        <v>2038</v>
      </c>
      <c r="AQ1" s="178">
        <v>2039</v>
      </c>
      <c r="AR1" s="177">
        <v>2040</v>
      </c>
      <c r="AS1" s="178">
        <v>2041</v>
      </c>
      <c r="AT1" s="177">
        <v>2042</v>
      </c>
      <c r="AU1" s="178">
        <v>2043</v>
      </c>
      <c r="AV1" s="177">
        <v>2044</v>
      </c>
      <c r="AW1" s="178">
        <v>2045</v>
      </c>
      <c r="AX1" s="177">
        <v>2046</v>
      </c>
      <c r="AY1" s="178">
        <v>2047</v>
      </c>
      <c r="AZ1" s="177">
        <v>2048</v>
      </c>
      <c r="BA1" s="178">
        <v>2049</v>
      </c>
      <c r="BB1" s="177">
        <v>2050</v>
      </c>
    </row>
    <row r="2" spans="1:54" ht="15.75" thickBot="1" x14ac:dyDescent="0.3">
      <c r="C2" s="179">
        <v>0</v>
      </c>
      <c r="D2" s="180">
        <v>1</v>
      </c>
      <c r="E2" s="180">
        <v>2</v>
      </c>
      <c r="F2" s="180">
        <v>3</v>
      </c>
      <c r="G2" s="180">
        <v>4</v>
      </c>
      <c r="H2" s="180">
        <v>5</v>
      </c>
      <c r="I2" s="180">
        <v>6</v>
      </c>
      <c r="J2" s="180">
        <v>7</v>
      </c>
      <c r="K2" s="180">
        <v>8</v>
      </c>
      <c r="L2" s="180">
        <v>9</v>
      </c>
      <c r="M2" s="180">
        <v>10</v>
      </c>
      <c r="N2" s="180">
        <v>11</v>
      </c>
      <c r="O2" s="180">
        <v>12</v>
      </c>
      <c r="P2" s="180">
        <v>13</v>
      </c>
      <c r="Q2" s="180">
        <v>14</v>
      </c>
      <c r="R2" s="180">
        <v>15</v>
      </c>
      <c r="S2" s="180">
        <v>16</v>
      </c>
      <c r="T2" s="180">
        <v>17</v>
      </c>
      <c r="U2" s="180">
        <v>18</v>
      </c>
      <c r="V2" s="180">
        <v>19</v>
      </c>
      <c r="W2" s="180">
        <v>20</v>
      </c>
      <c r="X2" s="180">
        <v>21</v>
      </c>
      <c r="Y2" s="180">
        <v>22</v>
      </c>
      <c r="Z2" s="180">
        <v>23</v>
      </c>
      <c r="AA2" s="180">
        <v>24</v>
      </c>
      <c r="AB2" s="180">
        <v>25</v>
      </c>
      <c r="AC2" s="180">
        <v>26</v>
      </c>
      <c r="AD2" s="180">
        <v>27</v>
      </c>
      <c r="AE2" s="180">
        <v>28</v>
      </c>
      <c r="AF2" s="180">
        <v>29</v>
      </c>
      <c r="AG2" s="181">
        <v>30</v>
      </c>
      <c r="AH2" s="180">
        <v>31</v>
      </c>
      <c r="AI2" s="181">
        <v>32</v>
      </c>
      <c r="AJ2" s="180">
        <v>33</v>
      </c>
      <c r="AK2" s="181">
        <v>34</v>
      </c>
      <c r="AL2" s="180">
        <v>35</v>
      </c>
      <c r="AM2" s="181">
        <v>36</v>
      </c>
      <c r="AN2" s="180">
        <v>37</v>
      </c>
      <c r="AO2" s="181">
        <v>38</v>
      </c>
      <c r="AP2" s="180">
        <v>39</v>
      </c>
      <c r="AQ2" s="181">
        <v>40</v>
      </c>
      <c r="AR2" s="180">
        <v>41</v>
      </c>
      <c r="AS2" s="181">
        <v>42</v>
      </c>
      <c r="AT2" s="180">
        <v>43</v>
      </c>
      <c r="AU2" s="181">
        <v>44</v>
      </c>
      <c r="AV2" s="180">
        <v>45</v>
      </c>
      <c r="AW2" s="181">
        <v>46</v>
      </c>
      <c r="AX2" s="180">
        <v>47</v>
      </c>
      <c r="AY2" s="181">
        <v>48</v>
      </c>
      <c r="AZ2" s="180">
        <v>49</v>
      </c>
      <c r="BA2" s="181">
        <v>50</v>
      </c>
      <c r="BB2" s="180">
        <v>51</v>
      </c>
    </row>
    <row r="3" spans="1:54" x14ac:dyDescent="0.25">
      <c r="A3" s="454" t="s">
        <v>28</v>
      </c>
      <c r="B3" s="455"/>
      <c r="C3" s="162"/>
      <c r="D3" s="111"/>
      <c r="E3" s="112" t="s">
        <v>1</v>
      </c>
      <c r="F3" s="111"/>
      <c r="G3" s="111"/>
      <c r="H3" s="111"/>
      <c r="I3" s="111"/>
      <c r="J3" s="113"/>
      <c r="K3" s="114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5"/>
    </row>
    <row r="4" spans="1:54" x14ac:dyDescent="0.25">
      <c r="A4" s="456" t="s">
        <v>199</v>
      </c>
      <c r="B4" s="457"/>
      <c r="C4" s="31">
        <f t="shared" ref="C4:O4" si="0">D4/(1+C29)</f>
        <v>94799549.842246488</v>
      </c>
      <c r="D4" s="31">
        <f t="shared" si="0"/>
        <v>103551159.88503316</v>
      </c>
      <c r="E4" s="31">
        <f t="shared" si="0"/>
        <v>112612385.25760461</v>
      </c>
      <c r="F4" s="31">
        <f t="shared" si="0"/>
        <v>121220558.84150247</v>
      </c>
      <c r="G4" s="31">
        <f t="shared" si="0"/>
        <v>129695264.1391774</v>
      </c>
      <c r="H4" s="31">
        <f t="shared" si="0"/>
        <v>138113464.16516888</v>
      </c>
      <c r="I4" s="31">
        <f t="shared" si="0"/>
        <v>145706908.1075328</v>
      </c>
      <c r="J4" s="31">
        <f t="shared" si="0"/>
        <v>152778954.52576441</v>
      </c>
      <c r="K4" s="31">
        <f t="shared" si="0"/>
        <v>159623797.70687562</v>
      </c>
      <c r="L4" s="31">
        <f t="shared" si="0"/>
        <v>168714758.85424608</v>
      </c>
      <c r="M4" s="31">
        <f t="shared" si="0"/>
        <v>181654897.40771273</v>
      </c>
      <c r="N4" s="31">
        <f t="shared" si="0"/>
        <v>185287995.355867</v>
      </c>
      <c r="O4" s="31">
        <f t="shared" si="0"/>
        <v>191173614.03187689</v>
      </c>
      <c r="P4" s="31">
        <f>D45</f>
        <v>198312651.5</v>
      </c>
      <c r="Q4" s="31">
        <f t="shared" ref="Q4:BB4" si="1">P4*(1+P29)</f>
        <v>204658656.34800002</v>
      </c>
      <c r="R4" s="31">
        <f t="shared" si="1"/>
        <v>211207733.35113603</v>
      </c>
      <c r="S4" s="31">
        <f t="shared" si="1"/>
        <v>217966380.8183724</v>
      </c>
      <c r="T4" s="31">
        <f t="shared" si="1"/>
        <v>224941305.00456032</v>
      </c>
      <c r="U4" s="31">
        <f t="shared" si="1"/>
        <v>232139426.76470625</v>
      </c>
      <c r="V4" s="31">
        <f t="shared" si="1"/>
        <v>239567888.42117685</v>
      </c>
      <c r="W4" s="31">
        <f t="shared" si="1"/>
        <v>247234060.85065451</v>
      </c>
      <c r="X4" s="31">
        <f t="shared" si="1"/>
        <v>255145550.79787546</v>
      </c>
      <c r="Y4" s="31">
        <f t="shared" si="1"/>
        <v>263310208.4234075</v>
      </c>
      <c r="Z4" s="31">
        <f t="shared" si="1"/>
        <v>271736135.09295654</v>
      </c>
      <c r="AA4" s="31">
        <f t="shared" si="1"/>
        <v>280431691.41593117</v>
      </c>
      <c r="AB4" s="31">
        <f t="shared" si="1"/>
        <v>289405505.54124099</v>
      </c>
      <c r="AC4" s="31">
        <f t="shared" si="1"/>
        <v>298666481.7185607</v>
      </c>
      <c r="AD4" s="31">
        <f t="shared" si="1"/>
        <v>308223809.13355464</v>
      </c>
      <c r="AE4" s="31">
        <f t="shared" si="1"/>
        <v>318086971.02582842</v>
      </c>
      <c r="AF4" s="31">
        <f t="shared" si="1"/>
        <v>328265754.09865493</v>
      </c>
      <c r="AG4" s="172">
        <f t="shared" si="1"/>
        <v>338770258.22981191</v>
      </c>
      <c r="AH4" s="172">
        <f t="shared" si="1"/>
        <v>349610906.49316591</v>
      </c>
      <c r="AI4" s="172">
        <f t="shared" si="1"/>
        <v>360798455.50094724</v>
      </c>
      <c r="AJ4" s="172">
        <f t="shared" si="1"/>
        <v>372344006.07697755</v>
      </c>
      <c r="AK4" s="172">
        <f t="shared" si="1"/>
        <v>384259014.27144086</v>
      </c>
      <c r="AL4" s="172">
        <f t="shared" si="1"/>
        <v>396555302.728127</v>
      </c>
      <c r="AM4" s="172">
        <f t="shared" si="1"/>
        <v>409245072.41542709</v>
      </c>
      <c r="AN4" s="172">
        <f t="shared" si="1"/>
        <v>422340914.73272079</v>
      </c>
      <c r="AO4" s="172">
        <f t="shared" si="1"/>
        <v>435855824.00416785</v>
      </c>
      <c r="AP4" s="172">
        <f t="shared" si="1"/>
        <v>449803210.37230122</v>
      </c>
      <c r="AQ4" s="172">
        <f t="shared" si="1"/>
        <v>464196913.10421485</v>
      </c>
      <c r="AR4" s="172">
        <f t="shared" si="1"/>
        <v>479051214.32354975</v>
      </c>
      <c r="AS4" s="172">
        <f t="shared" si="1"/>
        <v>494380853.18190336</v>
      </c>
      <c r="AT4" s="172">
        <f t="shared" si="1"/>
        <v>510201040.4837243</v>
      </c>
      <c r="AU4" s="172">
        <f t="shared" si="1"/>
        <v>526527473.77920347</v>
      </c>
      <c r="AV4" s="172">
        <f t="shared" si="1"/>
        <v>543376352.94013798</v>
      </c>
      <c r="AW4" s="172">
        <f t="shared" si="1"/>
        <v>560764396.23422241</v>
      </c>
      <c r="AX4" s="172">
        <f t="shared" si="1"/>
        <v>578708856.91371751</v>
      </c>
      <c r="AY4" s="172">
        <f t="shared" si="1"/>
        <v>597227540.33495653</v>
      </c>
      <c r="AZ4" s="172">
        <f t="shared" si="1"/>
        <v>616338821.6256752</v>
      </c>
      <c r="BA4" s="172">
        <f t="shared" si="1"/>
        <v>636061663.91769683</v>
      </c>
      <c r="BB4" s="172">
        <f t="shared" si="1"/>
        <v>656415637.16306317</v>
      </c>
    </row>
    <row r="5" spans="1:54" x14ac:dyDescent="0.25">
      <c r="A5" s="458" t="s">
        <v>206</v>
      </c>
      <c r="B5" s="459"/>
      <c r="C5" s="164">
        <f>VRN!I25</f>
        <v>70762018612.858673</v>
      </c>
      <c r="D5" s="164">
        <f>VRN!J25</f>
        <v>93265013570.190079</v>
      </c>
      <c r="E5" s="164">
        <f>VRN!K25</f>
        <v>109875006185.34476</v>
      </c>
      <c r="F5" s="164">
        <f>VRN!L25</f>
        <v>130941585547.94403</v>
      </c>
      <c r="G5" s="164">
        <f>VRN!M25</f>
        <v>158834471633.8743</v>
      </c>
      <c r="H5" s="164">
        <f>VRN!N25</f>
        <v>151691098095.44193</v>
      </c>
      <c r="I5" s="164">
        <f>VRN!O25</f>
        <v>136820519065.98146</v>
      </c>
      <c r="J5" s="164">
        <f>VRN!P25</f>
        <v>146717481259.91583</v>
      </c>
      <c r="K5" s="164">
        <f>VRN!Q25</f>
        <v>130963135449.42683</v>
      </c>
      <c r="L5" s="164">
        <f>VRN!R25</f>
        <v>135045877557.18509</v>
      </c>
      <c r="M5" s="164">
        <f>VRN!S25</f>
        <v>144863931495.06369</v>
      </c>
      <c r="N5" s="164">
        <f>VRN!T25</f>
        <v>133078045446.06732</v>
      </c>
      <c r="O5" s="108">
        <f>VRN!H16</f>
        <v>120091837654.04872</v>
      </c>
      <c r="P5" s="108">
        <f>VRN!I16</f>
        <v>127405430567.18028</v>
      </c>
      <c r="Q5" s="108">
        <f>VRN!J16</f>
        <v>135164421288.72156</v>
      </c>
      <c r="R5" s="108">
        <f>VRN!K16</f>
        <v>143395934545.20468</v>
      </c>
      <c r="S5" s="108">
        <f>VRN!L16</f>
        <v>152128746959.00763</v>
      </c>
      <c r="T5" s="108">
        <f>VRN!M16</f>
        <v>161393387648.81119</v>
      </c>
      <c r="U5" s="108">
        <f>VRN!N16</f>
        <v>171222244956.62378</v>
      </c>
      <c r="V5" s="108">
        <f>VRN!O16</f>
        <v>181649679674.48215</v>
      </c>
      <c r="W5" s="108">
        <f>VRN!P16</f>
        <v>192712145166.65811</v>
      </c>
      <c r="X5" s="108">
        <f>VRN!Q16</f>
        <v>204448314807.30759</v>
      </c>
      <c r="Y5" s="108">
        <f>VRN!R16</f>
        <v>216899217179.0726</v>
      </c>
      <c r="Z5" s="108">
        <f>VRN!S16</f>
        <v>230108379505.27811</v>
      </c>
      <c r="AA5" s="108">
        <f>VRN!T16</f>
        <v>244121979817.14954</v>
      </c>
      <c r="AB5" s="108">
        <f>VRN!U16</f>
        <v>258989008388.01395</v>
      </c>
      <c r="AC5" s="108">
        <f>VRN!V16</f>
        <v>274761438998.84399</v>
      </c>
      <c r="AD5" s="108">
        <f>VRN!W16</f>
        <v>291494410633.8736</v>
      </c>
      <c r="AE5" s="108">
        <f>VRN!X16</f>
        <v>309246420241.4765</v>
      </c>
      <c r="AF5" s="108">
        <f>VRN!Y16</f>
        <v>328079527234.18243</v>
      </c>
      <c r="AG5" s="108">
        <f>VRN!Z16</f>
        <v>348059570442.74414</v>
      </c>
      <c r="AH5" s="108">
        <f>VRN!AA16</f>
        <v>369256398282.70721</v>
      </c>
      <c r="AI5" s="108">
        <f>VRN!AB16</f>
        <v>391744112938.12408</v>
      </c>
      <c r="AJ5" s="108">
        <f>VRN!AC16</f>
        <v>415601329416.05585</v>
      </c>
      <c r="AK5" s="108">
        <f>VRN!AD16</f>
        <v>440911450377.49365</v>
      </c>
      <c r="AL5" s="108">
        <f>VRN!AE16</f>
        <v>467762957705.48297</v>
      </c>
      <c r="AM5" s="108">
        <f>VRN!AF16</f>
        <v>496249721829.74689</v>
      </c>
      <c r="AN5" s="108">
        <f>VRN!AG16</f>
        <v>526471329889.17847</v>
      </c>
      <c r="AO5" s="108">
        <f>VRN!AH16</f>
        <v>558533433879.42944</v>
      </c>
      <c r="AP5" s="108">
        <f>VRN!AI16</f>
        <v>592548120002.68665</v>
      </c>
      <c r="AQ5" s="108">
        <f>VRN!AJ16</f>
        <v>628634300510.85022</v>
      </c>
      <c r="AR5" s="108">
        <f>VRN!AK16</f>
        <v>666918129411.96094</v>
      </c>
      <c r="AS5" s="108">
        <f>VRN!AL16</f>
        <v>707533443493.14929</v>
      </c>
      <c r="AT5" s="108">
        <f>VRN!AM16</f>
        <v>750622230201.88208</v>
      </c>
      <c r="AU5" s="108">
        <f>VRN!AN16</f>
        <v>796335124021.17664</v>
      </c>
      <c r="AV5" s="108">
        <f>VRN!AO16</f>
        <v>844831933074.06628</v>
      </c>
      <c r="AW5" s="108">
        <f>VRN!AP16</f>
        <v>896282197798.27686</v>
      </c>
      <c r="AX5" s="108">
        <f>VRN!AQ16</f>
        <v>0</v>
      </c>
      <c r="AY5" s="108">
        <f>VRN!AR16</f>
        <v>0</v>
      </c>
      <c r="AZ5" s="108">
        <f>VRN!AS16</f>
        <v>0</v>
      </c>
      <c r="BA5" s="108">
        <f>VRN!AT16</f>
        <v>0</v>
      </c>
      <c r="BB5" s="108">
        <f>VRN!AU16</f>
        <v>0</v>
      </c>
    </row>
    <row r="6" spans="1:54" x14ac:dyDescent="0.25">
      <c r="A6" s="460" t="s">
        <v>611</v>
      </c>
      <c r="B6" s="461"/>
      <c r="C6" s="163">
        <f>-PMT(9%,25,C5)</f>
        <v>7204015794.1005325</v>
      </c>
      <c r="D6" s="108">
        <f t="shared" ref="D6:N6" si="2">-PMT(9%,25,D5)</f>
        <v>9494961336.1447716</v>
      </c>
      <c r="E6" s="108">
        <f t="shared" si="2"/>
        <v>11185962405.434837</v>
      </c>
      <c r="F6" s="108">
        <f t="shared" si="2"/>
        <v>13330671861.592997</v>
      </c>
      <c r="G6" s="108">
        <f t="shared" si="2"/>
        <v>16170342010.143198</v>
      </c>
      <c r="H6" s="108">
        <f t="shared" si="2"/>
        <v>15443101934.141817</v>
      </c>
      <c r="I6" s="108">
        <f t="shared" si="2"/>
        <v>13929184040.112341</v>
      </c>
      <c r="J6" s="108">
        <f t="shared" si="2"/>
        <v>14936756652.600859</v>
      </c>
      <c r="K6" s="108">
        <f t="shared" si="2"/>
        <v>13332865776.262003</v>
      </c>
      <c r="L6" s="108">
        <f t="shared" si="2"/>
        <v>13748514442.087162</v>
      </c>
      <c r="M6" s="108">
        <f t="shared" si="2"/>
        <v>14748053700.891682</v>
      </c>
      <c r="N6" s="108">
        <f t="shared" si="2"/>
        <v>13548176833.204218</v>
      </c>
      <c r="O6" s="108">
        <f>-PMT(11.5%,30,O5)</f>
        <v>14358671996.087845</v>
      </c>
      <c r="P6" s="108">
        <f t="shared" ref="P6:AG6" si="3">-PMT(11.5%,30,P5)</f>
        <v>15233115120.649593</v>
      </c>
      <c r="Q6" s="108">
        <f t="shared" si="3"/>
        <v>16160811831.497152</v>
      </c>
      <c r="R6" s="108">
        <f t="shared" si="3"/>
        <v>17145005272.035326</v>
      </c>
      <c r="S6" s="108">
        <f t="shared" si="3"/>
        <v>18189136093.10228</v>
      </c>
      <c r="T6" s="108">
        <f t="shared" si="3"/>
        <v>19296854481.172207</v>
      </c>
      <c r="U6" s="108">
        <f t="shared" si="3"/>
        <v>20472032919.075592</v>
      </c>
      <c r="V6" s="108">
        <f t="shared" si="3"/>
        <v>21718779723.84729</v>
      </c>
      <c r="W6" s="108">
        <f t="shared" si="3"/>
        <v>23041453409.029591</v>
      </c>
      <c r="X6" s="108">
        <f t="shared" si="3"/>
        <v>24444677921.639492</v>
      </c>
      <c r="Y6" s="108">
        <f t="shared" si="3"/>
        <v>25933358807.067337</v>
      </c>
      <c r="Z6" s="108">
        <f t="shared" si="3"/>
        <v>27512700358.417736</v>
      </c>
      <c r="AA6" s="108">
        <f t="shared" si="3"/>
        <v>29188223810.245377</v>
      </c>
      <c r="AB6" s="108">
        <f t="shared" si="3"/>
        <v>30965786640.289322</v>
      </c>
      <c r="AC6" s="108">
        <f t="shared" si="3"/>
        <v>32851603046.682941</v>
      </c>
      <c r="AD6" s="108">
        <f t="shared" si="3"/>
        <v>34852265672.225929</v>
      </c>
      <c r="AE6" s="108">
        <f t="shared" si="3"/>
        <v>36974768651.66449</v>
      </c>
      <c r="AF6" s="108">
        <f t="shared" si="3"/>
        <v>39226532062.550858</v>
      </c>
      <c r="AG6" s="126">
        <f t="shared" si="3"/>
        <v>41615427865.160202</v>
      </c>
      <c r="AH6" s="126">
        <f t="shared" ref="AH6:BB6" si="4">-PMT(11.5%,30,AH5)</f>
        <v>44149807422.14846</v>
      </c>
      <c r="AI6" s="126">
        <f t="shared" si="4"/>
        <v>46838530694.157295</v>
      </c>
      <c r="AJ6" s="126">
        <f t="shared" si="4"/>
        <v>49690997213.431473</v>
      </c>
      <c r="AK6" s="126">
        <f t="shared" si="4"/>
        <v>52717178943.729454</v>
      </c>
      <c r="AL6" s="126">
        <f t="shared" si="4"/>
        <v>55927655141.402573</v>
      </c>
      <c r="AM6" s="126">
        <f t="shared" si="4"/>
        <v>59333649339.513992</v>
      </c>
      <c r="AN6" s="126">
        <f t="shared" si="4"/>
        <v>62947068584.29039</v>
      </c>
      <c r="AO6" s="126">
        <f t="shared" si="4"/>
        <v>66780545061.073669</v>
      </c>
      <c r="AP6" s="126">
        <f t="shared" si="4"/>
        <v>70847480255.29306</v>
      </c>
      <c r="AQ6" s="126">
        <f t="shared" si="4"/>
        <v>75162091802.840393</v>
      </c>
      <c r="AR6" s="126">
        <f t="shared" si="4"/>
        <v>79739463193.633362</v>
      </c>
      <c r="AS6" s="126">
        <f t="shared" si="4"/>
        <v>84595596502.125641</v>
      </c>
      <c r="AT6" s="126">
        <f t="shared" si="4"/>
        <v>89747468329.105087</v>
      </c>
      <c r="AU6" s="126">
        <f t="shared" si="4"/>
        <v>95213089150.34758</v>
      </c>
      <c r="AV6" s="126">
        <f t="shared" si="4"/>
        <v>101011566279.60374</v>
      </c>
      <c r="AW6" s="126">
        <f t="shared" si="4"/>
        <v>107163170666.0316</v>
      </c>
      <c r="AX6" s="126">
        <f t="shared" si="4"/>
        <v>0</v>
      </c>
      <c r="AY6" s="126">
        <f t="shared" si="4"/>
        <v>0</v>
      </c>
      <c r="AZ6" s="126">
        <f t="shared" si="4"/>
        <v>0</v>
      </c>
      <c r="BA6" s="126">
        <f t="shared" si="4"/>
        <v>0</v>
      </c>
      <c r="BB6" s="126">
        <f t="shared" si="4"/>
        <v>0</v>
      </c>
    </row>
    <row r="7" spans="1:54" x14ac:dyDescent="0.25">
      <c r="A7" s="460" t="s">
        <v>612</v>
      </c>
      <c r="B7" s="461"/>
      <c r="C7" s="163"/>
      <c r="D7" s="108">
        <f>+D6*5%</f>
        <v>474748066.80723858</v>
      </c>
      <c r="E7" s="108">
        <f t="shared" ref="E7:AG7" si="5">+E6*5%</f>
        <v>559298120.27174187</v>
      </c>
      <c r="F7" s="108">
        <f t="shared" si="5"/>
        <v>666533593.07964993</v>
      </c>
      <c r="G7" s="108">
        <f t="shared" si="5"/>
        <v>808517100.50715995</v>
      </c>
      <c r="H7" s="108">
        <f t="shared" si="5"/>
        <v>772155096.70709085</v>
      </c>
      <c r="I7" s="108">
        <f t="shared" si="5"/>
        <v>696459202.00561714</v>
      </c>
      <c r="J7" s="108">
        <f t="shared" si="5"/>
        <v>746837832.63004303</v>
      </c>
      <c r="K7" s="108">
        <f t="shared" si="5"/>
        <v>666643288.81310022</v>
      </c>
      <c r="L7" s="108">
        <f t="shared" si="5"/>
        <v>687425722.1043582</v>
      </c>
      <c r="M7" s="108">
        <f t="shared" si="5"/>
        <v>737402685.04458416</v>
      </c>
      <c r="N7" s="108">
        <f t="shared" si="5"/>
        <v>677408841.66021097</v>
      </c>
      <c r="O7" s="108">
        <f t="shared" si="5"/>
        <v>717933599.80439234</v>
      </c>
      <c r="P7" s="108">
        <f t="shared" si="5"/>
        <v>761655756.03247976</v>
      </c>
      <c r="Q7" s="108">
        <f t="shared" si="5"/>
        <v>808040591.57485771</v>
      </c>
      <c r="R7" s="108">
        <f t="shared" si="5"/>
        <v>857250263.60176635</v>
      </c>
      <c r="S7" s="108">
        <f t="shared" si="5"/>
        <v>909456804.65511405</v>
      </c>
      <c r="T7" s="108">
        <f t="shared" si="5"/>
        <v>964842724.05861044</v>
      </c>
      <c r="U7" s="108">
        <f t="shared" si="5"/>
        <v>1023601645.9537797</v>
      </c>
      <c r="V7" s="108">
        <f t="shared" si="5"/>
        <v>1085938986.1923645</v>
      </c>
      <c r="W7" s="108">
        <f t="shared" si="5"/>
        <v>1152072670.4514797</v>
      </c>
      <c r="X7" s="108">
        <f t="shared" si="5"/>
        <v>1222233896.0819747</v>
      </c>
      <c r="Y7" s="108">
        <f t="shared" si="5"/>
        <v>1296667940.3533669</v>
      </c>
      <c r="Z7" s="108">
        <f t="shared" si="5"/>
        <v>1375635017.920887</v>
      </c>
      <c r="AA7" s="108">
        <f t="shared" si="5"/>
        <v>1459411190.512269</v>
      </c>
      <c r="AB7" s="108">
        <f t="shared" si="5"/>
        <v>1548289332.0144663</v>
      </c>
      <c r="AC7" s="108">
        <f t="shared" si="5"/>
        <v>1642580152.3341472</v>
      </c>
      <c r="AD7" s="108">
        <f t="shared" si="5"/>
        <v>1742613283.6112967</v>
      </c>
      <c r="AE7" s="108">
        <f>+AE6*5%</f>
        <v>1848738432.5832245</v>
      </c>
      <c r="AF7" s="108">
        <f t="shared" si="5"/>
        <v>1961326603.127543</v>
      </c>
      <c r="AG7" s="126">
        <f t="shared" si="5"/>
        <v>2080771393.2580101</v>
      </c>
      <c r="AH7" s="126">
        <f t="shared" ref="AH7:BB7" si="6">+AH6*5%</f>
        <v>2207490371.1074233</v>
      </c>
      <c r="AI7" s="126">
        <f t="shared" si="6"/>
        <v>2341926534.7078648</v>
      </c>
      <c r="AJ7" s="126">
        <f t="shared" si="6"/>
        <v>2484549860.6715736</v>
      </c>
      <c r="AK7" s="126">
        <f t="shared" si="6"/>
        <v>2635858947.1864729</v>
      </c>
      <c r="AL7" s="126">
        <f t="shared" si="6"/>
        <v>2796382757.0701289</v>
      </c>
      <c r="AM7" s="126">
        <f t="shared" si="6"/>
        <v>2966682466.9756999</v>
      </c>
      <c r="AN7" s="126">
        <f t="shared" si="6"/>
        <v>3147353429.2145195</v>
      </c>
      <c r="AO7" s="126">
        <f t="shared" si="6"/>
        <v>3339027253.0536838</v>
      </c>
      <c r="AP7" s="126">
        <f t="shared" si="6"/>
        <v>3542374012.7646532</v>
      </c>
      <c r="AQ7" s="126">
        <f t="shared" si="6"/>
        <v>3758104590.1420197</v>
      </c>
      <c r="AR7" s="126">
        <f t="shared" si="6"/>
        <v>3986973159.6816683</v>
      </c>
      <c r="AS7" s="126">
        <f t="shared" si="6"/>
        <v>4229779825.1062822</v>
      </c>
      <c r="AT7" s="126">
        <f t="shared" si="6"/>
        <v>4487373416.4552546</v>
      </c>
      <c r="AU7" s="126">
        <f t="shared" si="6"/>
        <v>4760654457.5173788</v>
      </c>
      <c r="AV7" s="126">
        <f t="shared" si="6"/>
        <v>5050578313.9801874</v>
      </c>
      <c r="AW7" s="126">
        <f t="shared" si="6"/>
        <v>5358158533.3015804</v>
      </c>
      <c r="AX7" s="126">
        <f t="shared" si="6"/>
        <v>0</v>
      </c>
      <c r="AY7" s="126">
        <f t="shared" si="6"/>
        <v>0</v>
      </c>
      <c r="AZ7" s="126">
        <f t="shared" si="6"/>
        <v>0</v>
      </c>
      <c r="BA7" s="126">
        <f t="shared" si="6"/>
        <v>0</v>
      </c>
      <c r="BB7" s="126">
        <f t="shared" si="6"/>
        <v>0</v>
      </c>
    </row>
    <row r="8" spans="1:54" x14ac:dyDescent="0.25">
      <c r="A8" s="460" t="s">
        <v>613</v>
      </c>
      <c r="B8" s="461"/>
      <c r="C8" s="163"/>
      <c r="D8" s="125">
        <f>2.5%*D5</f>
        <v>2331625339.2547522</v>
      </c>
      <c r="E8" s="125">
        <f t="shared" ref="E8:N8" si="7">2.5%*E5</f>
        <v>2746875154.6336193</v>
      </c>
      <c r="F8" s="125">
        <f t="shared" si="7"/>
        <v>3273539638.6986008</v>
      </c>
      <c r="G8" s="125">
        <f t="shared" si="7"/>
        <v>3970861790.8468575</v>
      </c>
      <c r="H8" s="125">
        <f t="shared" si="7"/>
        <v>3792277452.3860483</v>
      </c>
      <c r="I8" s="125">
        <f t="shared" si="7"/>
        <v>3420512976.6495366</v>
      </c>
      <c r="J8" s="125">
        <f t="shared" si="7"/>
        <v>3667937031.4978962</v>
      </c>
      <c r="K8" s="125">
        <f t="shared" si="7"/>
        <v>3274078386.235671</v>
      </c>
      <c r="L8" s="125">
        <f t="shared" si="7"/>
        <v>3376146938.9296274</v>
      </c>
      <c r="M8" s="125">
        <f t="shared" si="7"/>
        <v>3621598287.3765926</v>
      </c>
      <c r="N8" s="125">
        <f t="shared" si="7"/>
        <v>3326951136.1516833</v>
      </c>
      <c r="O8" s="125">
        <f>2.87%*O5</f>
        <v>3446635740.6711984</v>
      </c>
      <c r="P8" s="125">
        <f>3.14%*P5</f>
        <v>4000530519.8094616</v>
      </c>
      <c r="Q8" s="125">
        <f>3.09%*Q5</f>
        <v>4176580617.8214955</v>
      </c>
      <c r="R8" s="125">
        <f>3.09%*R5</f>
        <v>4430934377.4468241</v>
      </c>
      <c r="S8" s="125">
        <f t="shared" ref="S8:AG8" si="8">3.09%*S5</f>
        <v>4700778281.0333357</v>
      </c>
      <c r="T8" s="125">
        <f t="shared" si="8"/>
        <v>4987055678.3482656</v>
      </c>
      <c r="U8" s="125">
        <f t="shared" si="8"/>
        <v>5290767369.1596746</v>
      </c>
      <c r="V8" s="125">
        <f t="shared" si="8"/>
        <v>5612975101.9414978</v>
      </c>
      <c r="W8" s="125">
        <f t="shared" si="8"/>
        <v>5954805285.6497355</v>
      </c>
      <c r="X8" s="125">
        <f t="shared" si="8"/>
        <v>6317452927.545804</v>
      </c>
      <c r="Y8" s="125">
        <f t="shared" si="8"/>
        <v>6702185810.8333426</v>
      </c>
      <c r="Z8" s="125">
        <f t="shared" si="8"/>
        <v>7110348926.7130928</v>
      </c>
      <c r="AA8" s="125">
        <f t="shared" si="8"/>
        <v>7543369176.3499203</v>
      </c>
      <c r="AB8" s="125">
        <f t="shared" si="8"/>
        <v>8002760359.1896305</v>
      </c>
      <c r="AC8" s="125">
        <f t="shared" si="8"/>
        <v>8490128465.0642786</v>
      </c>
      <c r="AD8" s="125">
        <f t="shared" si="8"/>
        <v>9007177288.5866928</v>
      </c>
      <c r="AE8" s="125">
        <f t="shared" si="8"/>
        <v>9555714385.4616222</v>
      </c>
      <c r="AF8" s="125">
        <f t="shared" si="8"/>
        <v>10137657391.536236</v>
      </c>
      <c r="AG8" s="173">
        <f t="shared" si="8"/>
        <v>10755040726.680794</v>
      </c>
      <c r="AH8" s="173">
        <f t="shared" ref="AH8:BB8" si="9">3.09%*AH5</f>
        <v>11410022706.935652</v>
      </c>
      <c r="AI8" s="173">
        <f t="shared" si="9"/>
        <v>12104893089.788033</v>
      </c>
      <c r="AJ8" s="173">
        <f t="shared" si="9"/>
        <v>12842081078.956125</v>
      </c>
      <c r="AK8" s="173">
        <f t="shared" si="9"/>
        <v>13624163816.664553</v>
      </c>
      <c r="AL8" s="173">
        <f t="shared" si="9"/>
        <v>14453875393.099422</v>
      </c>
      <c r="AM8" s="173">
        <f t="shared" si="9"/>
        <v>15334116404.539177</v>
      </c>
      <c r="AN8" s="173">
        <f t="shared" si="9"/>
        <v>16267964093.575613</v>
      </c>
      <c r="AO8" s="173">
        <f t="shared" si="9"/>
        <v>17258683106.874367</v>
      </c>
      <c r="AP8" s="173">
        <f t="shared" si="9"/>
        <v>18309736908.083015</v>
      </c>
      <c r="AQ8" s="173">
        <f t="shared" si="9"/>
        <v>19424799885.785271</v>
      </c>
      <c r="AR8" s="173">
        <f t="shared" si="9"/>
        <v>20607770198.82959</v>
      </c>
      <c r="AS8" s="173">
        <f t="shared" si="9"/>
        <v>21862783403.938313</v>
      </c>
      <c r="AT8" s="173">
        <f t="shared" si="9"/>
        <v>23194226913.238155</v>
      </c>
      <c r="AU8" s="173">
        <f t="shared" si="9"/>
        <v>24606755332.254356</v>
      </c>
      <c r="AV8" s="173">
        <f t="shared" si="9"/>
        <v>26105306731.988647</v>
      </c>
      <c r="AW8" s="173">
        <f t="shared" si="9"/>
        <v>27695119911.966751</v>
      </c>
      <c r="AX8" s="173">
        <f t="shared" si="9"/>
        <v>0</v>
      </c>
      <c r="AY8" s="173">
        <f t="shared" si="9"/>
        <v>0</v>
      </c>
      <c r="AZ8" s="173">
        <f t="shared" si="9"/>
        <v>0</v>
      </c>
      <c r="BA8" s="173">
        <f t="shared" si="9"/>
        <v>0</v>
      </c>
      <c r="BB8" s="173">
        <f t="shared" si="9"/>
        <v>0</v>
      </c>
    </row>
    <row r="9" spans="1:54" x14ac:dyDescent="0.25">
      <c r="A9" s="462" t="s">
        <v>614</v>
      </c>
      <c r="B9" s="463"/>
      <c r="C9" s="163"/>
      <c r="D9" s="125">
        <f t="shared" ref="D9:L9" si="10">D4*7.6%</f>
        <v>7869888.1512625199</v>
      </c>
      <c r="E9" s="125">
        <f t="shared" si="10"/>
        <v>8558541.27957795</v>
      </c>
      <c r="F9" s="125">
        <f t="shared" si="10"/>
        <v>9212762.4719541874</v>
      </c>
      <c r="G9" s="125">
        <f t="shared" si="10"/>
        <v>9856840.0745774824</v>
      </c>
      <c r="H9" s="125">
        <f t="shared" si="10"/>
        <v>10496623.276552835</v>
      </c>
      <c r="I9" s="125">
        <f t="shared" si="10"/>
        <v>11073725.016172493</v>
      </c>
      <c r="J9" s="125">
        <f t="shared" si="10"/>
        <v>11611200.543958094</v>
      </c>
      <c r="K9" s="125">
        <f t="shared" si="10"/>
        <v>12131408.625722546</v>
      </c>
      <c r="L9" s="125">
        <f t="shared" si="10"/>
        <v>12822321.672922703</v>
      </c>
      <c r="M9" s="125">
        <f t="shared" ref="M9:BB9" si="11">M4*5.69%</f>
        <v>10336163.662498856</v>
      </c>
      <c r="N9" s="125">
        <f t="shared" si="11"/>
        <v>10542886.935748834</v>
      </c>
      <c r="O9" s="125">
        <f t="shared" si="11"/>
        <v>10877778.638413796</v>
      </c>
      <c r="P9" s="125">
        <f t="shared" si="11"/>
        <v>11283989.870350001</v>
      </c>
      <c r="Q9" s="125">
        <f t="shared" si="11"/>
        <v>11645077.546201203</v>
      </c>
      <c r="R9" s="125">
        <f t="shared" si="11"/>
        <v>12017720.027679641</v>
      </c>
      <c r="S9" s="125">
        <f t="shared" si="11"/>
        <v>12402287.068565391</v>
      </c>
      <c r="T9" s="125">
        <f t="shared" si="11"/>
        <v>12799160.254759483</v>
      </c>
      <c r="U9" s="125">
        <f t="shared" si="11"/>
        <v>13208733.382911786</v>
      </c>
      <c r="V9" s="125">
        <f t="shared" si="11"/>
        <v>13631412.851164965</v>
      </c>
      <c r="W9" s="125">
        <f t="shared" si="11"/>
        <v>14067618.062402243</v>
      </c>
      <c r="X9" s="125">
        <f t="shared" si="11"/>
        <v>14517781.840399116</v>
      </c>
      <c r="Y9" s="125">
        <f t="shared" si="11"/>
        <v>14982350.859291889</v>
      </c>
      <c r="Z9" s="125">
        <f t="shared" si="11"/>
        <v>15461786.08678923</v>
      </c>
      <c r="AA9" s="125">
        <f t="shared" si="11"/>
        <v>15956563.241566485</v>
      </c>
      <c r="AB9" s="125">
        <f t="shared" si="11"/>
        <v>16467173.265296614</v>
      </c>
      <c r="AC9" s="125">
        <f t="shared" si="11"/>
        <v>16994122.809786104</v>
      </c>
      <c r="AD9" s="125">
        <f t="shared" si="11"/>
        <v>17537934.739699259</v>
      </c>
      <c r="AE9" s="125">
        <f t="shared" si="11"/>
        <v>18099148.651369639</v>
      </c>
      <c r="AF9" s="125">
        <f t="shared" si="11"/>
        <v>18678321.408213466</v>
      </c>
      <c r="AG9" s="173">
        <f t="shared" si="11"/>
        <v>19276027.693276301</v>
      </c>
      <c r="AH9" s="173">
        <f t="shared" si="11"/>
        <v>19892860.579461142</v>
      </c>
      <c r="AI9" s="173">
        <f t="shared" si="11"/>
        <v>20529432.118003901</v>
      </c>
      <c r="AJ9" s="173">
        <f t="shared" si="11"/>
        <v>21186373.945780024</v>
      </c>
      <c r="AK9" s="173">
        <f t="shared" si="11"/>
        <v>21864337.912044987</v>
      </c>
      <c r="AL9" s="173">
        <f t="shared" si="11"/>
        <v>22563996.725230429</v>
      </c>
      <c r="AM9" s="173">
        <f t="shared" si="11"/>
        <v>23286044.620437805</v>
      </c>
      <c r="AN9" s="173">
        <f t="shared" si="11"/>
        <v>24031198.048291817</v>
      </c>
      <c r="AO9" s="173">
        <f t="shared" si="11"/>
        <v>24800196.385837153</v>
      </c>
      <c r="AP9" s="173">
        <f t="shared" si="11"/>
        <v>25593802.670183942</v>
      </c>
      <c r="AQ9" s="173">
        <f t="shared" si="11"/>
        <v>26412804.355629828</v>
      </c>
      <c r="AR9" s="173">
        <f t="shared" si="11"/>
        <v>27258014.095009983</v>
      </c>
      <c r="AS9" s="173">
        <f t="shared" si="11"/>
        <v>28130270.546050303</v>
      </c>
      <c r="AT9" s="173">
        <f t="shared" si="11"/>
        <v>29030439.203523915</v>
      </c>
      <c r="AU9" s="173">
        <f t="shared" si="11"/>
        <v>29959413.258036681</v>
      </c>
      <c r="AV9" s="173">
        <f t="shared" si="11"/>
        <v>30918114.482293855</v>
      </c>
      <c r="AW9" s="173">
        <f t="shared" si="11"/>
        <v>31907494.145727258</v>
      </c>
      <c r="AX9" s="173">
        <f t="shared" si="11"/>
        <v>32928533.95839053</v>
      </c>
      <c r="AY9" s="173">
        <f t="shared" si="11"/>
        <v>33982247.045059033</v>
      </c>
      <c r="AZ9" s="173">
        <f t="shared" si="11"/>
        <v>35069678.95050092</v>
      </c>
      <c r="BA9" s="173">
        <f t="shared" si="11"/>
        <v>36191908.676916957</v>
      </c>
      <c r="BB9" s="173">
        <f t="shared" si="11"/>
        <v>37350049.7545783</v>
      </c>
    </row>
    <row r="10" spans="1:54" ht="15.75" thickBot="1" x14ac:dyDescent="0.3">
      <c r="A10" s="460" t="s">
        <v>676</v>
      </c>
      <c r="B10" s="461"/>
      <c r="C10" s="165"/>
      <c r="D10" s="127">
        <f>SUM(D6:D9)</f>
        <v>12309204630.358027</v>
      </c>
      <c r="E10" s="127">
        <f>SUM(E6:E9)</f>
        <v>14500694221.619776</v>
      </c>
      <c r="F10" s="127">
        <f>SUM(F6:F9)</f>
        <v>17279957855.843201</v>
      </c>
      <c r="G10" s="127">
        <f t="shared" ref="G10:AG10" si="12">SUM(G6:G9)</f>
        <v>20959577741.571793</v>
      </c>
      <c r="H10" s="127">
        <f t="shared" si="12"/>
        <v>20018031106.511509</v>
      </c>
      <c r="I10" s="127">
        <f t="shared" si="12"/>
        <v>18057229943.783669</v>
      </c>
      <c r="J10" s="127">
        <f t="shared" si="12"/>
        <v>19363142717.272755</v>
      </c>
      <c r="K10" s="127">
        <f t="shared" si="12"/>
        <v>17285718859.936497</v>
      </c>
      <c r="L10" s="127">
        <f t="shared" si="12"/>
        <v>17824909424.794071</v>
      </c>
      <c r="M10" s="127">
        <f t="shared" si="12"/>
        <v>19117390836.975357</v>
      </c>
      <c r="N10" s="127">
        <f t="shared" si="12"/>
        <v>17563079697.951862</v>
      </c>
      <c r="O10" s="127">
        <f t="shared" si="12"/>
        <v>18534119115.201847</v>
      </c>
      <c r="P10" s="127">
        <f t="shared" si="12"/>
        <v>20006585386.361885</v>
      </c>
      <c r="Q10" s="127">
        <f t="shared" si="12"/>
        <v>21157078118.439705</v>
      </c>
      <c r="R10" s="127">
        <f t="shared" si="12"/>
        <v>22445207633.111595</v>
      </c>
      <c r="S10" s="127">
        <f t="shared" si="12"/>
        <v>23811773465.859295</v>
      </c>
      <c r="T10" s="127">
        <f t="shared" si="12"/>
        <v>25261552043.833843</v>
      </c>
      <c r="U10" s="127">
        <f t="shared" si="12"/>
        <v>26799610667.57196</v>
      </c>
      <c r="V10" s="127">
        <f t="shared" si="12"/>
        <v>28431325224.832317</v>
      </c>
      <c r="W10" s="127">
        <f t="shared" si="12"/>
        <v>30162398983.193207</v>
      </c>
      <c r="X10" s="127">
        <f t="shared" si="12"/>
        <v>31998882527.10767</v>
      </c>
      <c r="Y10" s="127">
        <f t="shared" si="12"/>
        <v>33947194909.113338</v>
      </c>
      <c r="Z10" s="127">
        <f t="shared" si="12"/>
        <v>36014146089.138504</v>
      </c>
      <c r="AA10" s="127">
        <f t="shared" si="12"/>
        <v>38206960740.349136</v>
      </c>
      <c r="AB10" s="127">
        <f t="shared" si="12"/>
        <v>40533303504.758713</v>
      </c>
      <c r="AC10" s="127">
        <f t="shared" si="12"/>
        <v>43001305786.891151</v>
      </c>
      <c r="AD10" s="127">
        <f t="shared" si="12"/>
        <v>45619594179.16362</v>
      </c>
      <c r="AE10" s="127">
        <f t="shared" si="12"/>
        <v>48397320618.360703</v>
      </c>
      <c r="AF10" s="127">
        <f t="shared" si="12"/>
        <v>51344194378.622841</v>
      </c>
      <c r="AG10" s="174">
        <f t="shared" si="12"/>
        <v>54470516012.792282</v>
      </c>
      <c r="AH10" s="174">
        <f t="shared" ref="AH10:BB10" si="13">SUM(AH6:AH9)</f>
        <v>57787213360.770996</v>
      </c>
      <c r="AI10" s="174">
        <f t="shared" si="13"/>
        <v>61305879750.771194</v>
      </c>
      <c r="AJ10" s="174">
        <f t="shared" si="13"/>
        <v>65038814527.004944</v>
      </c>
      <c r="AK10" s="174">
        <f t="shared" si="13"/>
        <v>68999066045.492523</v>
      </c>
      <c r="AL10" s="174">
        <f t="shared" si="13"/>
        <v>73200477288.297363</v>
      </c>
      <c r="AM10" s="174">
        <f t="shared" si="13"/>
        <v>77657734255.649307</v>
      </c>
      <c r="AN10" s="174">
        <f t="shared" si="13"/>
        <v>82386417305.128815</v>
      </c>
      <c r="AO10" s="174">
        <f t="shared" si="13"/>
        <v>87403055617.387543</v>
      </c>
      <c r="AP10" s="174">
        <f t="shared" si="13"/>
        <v>92725184978.810898</v>
      </c>
      <c r="AQ10" s="174">
        <f t="shared" si="13"/>
        <v>98371409083.123306</v>
      </c>
      <c r="AR10" s="174">
        <f t="shared" si="13"/>
        <v>104361464566.23964</v>
      </c>
      <c r="AS10" s="174">
        <f t="shared" si="13"/>
        <v>110716290001.71628</v>
      </c>
      <c r="AT10" s="174">
        <f t="shared" si="13"/>
        <v>117458099098.00203</v>
      </c>
      <c r="AU10" s="174">
        <f t="shared" si="13"/>
        <v>124610458353.37737</v>
      </c>
      <c r="AV10" s="174">
        <f t="shared" si="13"/>
        <v>132198369440.05489</v>
      </c>
      <c r="AW10" s="174">
        <f t="shared" si="13"/>
        <v>140248356605.44565</v>
      </c>
      <c r="AX10" s="174">
        <f t="shared" si="13"/>
        <v>32928533.95839053</v>
      </c>
      <c r="AY10" s="174">
        <f t="shared" si="13"/>
        <v>33982247.045059033</v>
      </c>
      <c r="AZ10" s="174">
        <f t="shared" si="13"/>
        <v>35069678.95050092</v>
      </c>
      <c r="BA10" s="174">
        <f t="shared" si="13"/>
        <v>36191908.676916957</v>
      </c>
      <c r="BB10" s="174">
        <f t="shared" si="13"/>
        <v>37350049.7545783</v>
      </c>
    </row>
    <row r="11" spans="1:54" ht="18" thickBot="1" x14ac:dyDescent="0.3">
      <c r="A11" s="464" t="s">
        <v>677</v>
      </c>
      <c r="B11" s="465"/>
      <c r="C11" s="247"/>
      <c r="D11" s="248">
        <f>+D10*D30</f>
        <v>13667869556.813427</v>
      </c>
      <c r="E11" s="248">
        <f t="shared" ref="E11:N11" si="14">+E10*E30</f>
        <v>17217306825.795975</v>
      </c>
      <c r="F11" s="248">
        <f t="shared" si="14"/>
        <v>22421341065.237881</v>
      </c>
      <c r="G11" s="248">
        <f t="shared" si="14"/>
        <v>28752385033.411865</v>
      </c>
      <c r="H11" s="248">
        <f t="shared" si="14"/>
        <v>28735070491.887005</v>
      </c>
      <c r="I11" s="248">
        <f t="shared" si="14"/>
        <v>26456487019.314499</v>
      </c>
      <c r="J11" s="248">
        <f t="shared" si="14"/>
        <v>29941910529.755341</v>
      </c>
      <c r="K11" s="248">
        <f t="shared" si="14"/>
        <v>27069469200.651379</v>
      </c>
      <c r="L11" s="248">
        <f t="shared" si="14"/>
        <v>30424933310.067291</v>
      </c>
      <c r="M11" s="248">
        <f t="shared" si="14"/>
        <v>31918585272.241047</v>
      </c>
      <c r="N11" s="248">
        <f t="shared" si="14"/>
        <v>30605393273.96627</v>
      </c>
      <c r="O11" s="248">
        <f>+O10*O30/$L$30</f>
        <v>19905959604.159985</v>
      </c>
      <c r="P11" s="248">
        <f t="shared" ref="P11:AG11" si="15">+P10*P30/$L$30</f>
        <v>22132035862.292065</v>
      </c>
      <c r="Q11" s="248">
        <f t="shared" si="15"/>
        <v>24106896738.968437</v>
      </c>
      <c r="R11" s="248">
        <f t="shared" si="15"/>
        <v>26341861983.828239</v>
      </c>
      <c r="S11" s="248">
        <f t="shared" si="15"/>
        <v>28784043983.696499</v>
      </c>
      <c r="T11" s="248">
        <f t="shared" si="15"/>
        <v>31452655760.972698</v>
      </c>
      <c r="U11" s="248">
        <f t="shared" si="15"/>
        <v>34368691805.411545</v>
      </c>
      <c r="V11" s="248">
        <f t="shared" si="15"/>
        <v>37555093258.040268</v>
      </c>
      <c r="W11" s="248">
        <f t="shared" si="15"/>
        <v>41036928411.694267</v>
      </c>
      <c r="X11" s="248">
        <f t="shared" si="15"/>
        <v>44841589948.410583</v>
      </c>
      <c r="Y11" s="248">
        <f t="shared" si="15"/>
        <v>48999010465.611717</v>
      </c>
      <c r="Z11" s="248">
        <f t="shared" si="15"/>
        <v>53541897986.916573</v>
      </c>
      <c r="AA11" s="248">
        <f t="shared" si="15"/>
        <v>58505993310.663544</v>
      </c>
      <c r="AB11" s="248">
        <f t="shared" si="15"/>
        <v>63930351221.059814</v>
      </c>
      <c r="AC11" s="248">
        <f t="shared" si="15"/>
        <v>69857647774.633408</v>
      </c>
      <c r="AD11" s="248">
        <f t="shared" si="15"/>
        <v>76334516079.836761</v>
      </c>
      <c r="AE11" s="248">
        <f t="shared" si="15"/>
        <v>83411913211.849014</v>
      </c>
      <c r="AF11" s="248">
        <f t="shared" si="15"/>
        <v>91145521149.610062</v>
      </c>
      <c r="AG11" s="249">
        <f t="shared" si="15"/>
        <v>99596184889.823502</v>
      </c>
      <c r="AH11" s="249">
        <f t="shared" ref="AH11:BB11" si="16">+AH10*AH30/$L$30</f>
        <v>108830391185.1918</v>
      </c>
      <c r="AI11" s="249">
        <f t="shared" si="16"/>
        <v>118920791673.79898</v>
      </c>
      <c r="AJ11" s="249">
        <f t="shared" si="16"/>
        <v>129946774515.84724</v>
      </c>
      <c r="AK11" s="249">
        <f t="shared" si="16"/>
        <v>141995089035.6347</v>
      </c>
      <c r="AL11" s="249">
        <f t="shared" si="16"/>
        <v>155160528283.73328</v>
      </c>
      <c r="AM11" s="249">
        <f t="shared" si="16"/>
        <v>169546674890.0719</v>
      </c>
      <c r="AN11" s="249">
        <f t="shared" si="16"/>
        <v>185266716076.63541</v>
      </c>
      <c r="AO11" s="249">
        <f t="shared" si="16"/>
        <v>202444334242.67282</v>
      </c>
      <c r="AP11" s="249">
        <f t="shared" si="16"/>
        <v>221214680129.95419</v>
      </c>
      <c r="AQ11" s="249">
        <f t="shared" si="16"/>
        <v>241725436225.39676</v>
      </c>
      <c r="AR11" s="249">
        <f t="shared" si="16"/>
        <v>264137978768.41849</v>
      </c>
      <c r="AS11" s="249">
        <f t="shared" si="16"/>
        <v>288628647506.24963</v>
      </c>
      <c r="AT11" s="249">
        <f t="shared" si="16"/>
        <v>315390133188.25446</v>
      </c>
      <c r="AU11" s="249">
        <f t="shared" si="16"/>
        <v>344632993716.74689</v>
      </c>
      <c r="AV11" s="249">
        <f t="shared" si="16"/>
        <v>376587310884.12457</v>
      </c>
      <c r="AW11" s="249">
        <f t="shared" si="16"/>
        <v>411504500732.35645</v>
      </c>
      <c r="AX11" s="249">
        <f t="shared" si="16"/>
        <v>99514514.551152319</v>
      </c>
      <c r="AY11" s="249">
        <f t="shared" si="16"/>
        <v>105779948.38729289</v>
      </c>
      <c r="AZ11" s="249">
        <f t="shared" si="16"/>
        <v>112439853.93775685</v>
      </c>
      <c r="BA11" s="249">
        <f t="shared" si="16"/>
        <v>119519067.14167807</v>
      </c>
      <c r="BB11" s="249">
        <f t="shared" si="16"/>
        <v>127043987.60891812</v>
      </c>
    </row>
    <row r="12" spans="1:54" x14ac:dyDescent="0.25">
      <c r="A12" s="456" t="s">
        <v>678</v>
      </c>
      <c r="B12" s="457"/>
      <c r="C12" s="369">
        <f>'Financiacion REEMPLAZO'!B5-'Financiacion REEMPLAZO'!B6</f>
        <v>17681425870.68</v>
      </c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369"/>
      <c r="Q12" s="369">
        <f>'Financiacion REEMPLAZO'!C5-'Financiacion REEMPLAZO'!C6</f>
        <v>10260000000</v>
      </c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  <c r="AC12" s="369"/>
      <c r="AD12" s="369"/>
      <c r="AE12" s="369"/>
      <c r="AF12" s="369"/>
      <c r="AG12" s="369"/>
      <c r="AH12" s="369"/>
      <c r="AI12" s="369"/>
      <c r="AJ12" s="369"/>
      <c r="AK12" s="369"/>
      <c r="AL12" s="369"/>
      <c r="AM12" s="369"/>
      <c r="AN12" s="369"/>
      <c r="AO12" s="369"/>
      <c r="AP12" s="369"/>
      <c r="AQ12" s="369"/>
      <c r="AR12" s="369"/>
      <c r="AS12" s="369"/>
      <c r="AT12" s="369"/>
      <c r="AU12" s="369"/>
      <c r="AV12" s="369"/>
      <c r="AW12" s="369"/>
      <c r="AX12" s="369"/>
      <c r="AY12" s="369"/>
      <c r="AZ12" s="369"/>
      <c r="BA12" s="369"/>
      <c r="BB12" s="369"/>
    </row>
    <row r="13" spans="1:54" x14ac:dyDescent="0.25">
      <c r="A13" s="456" t="s">
        <v>679</v>
      </c>
      <c r="B13" s="457"/>
      <c r="C13" s="370"/>
      <c r="D13" s="370">
        <f>'Financiacion REEMPLAZO'!C22+'Financiacion REEMPLAZO'!C23</f>
        <v>510929850.97080898</v>
      </c>
      <c r="E13" s="370">
        <f>'Financiacion REEMPLAZO'!D22+'Financiacion REEMPLAZO'!D23</f>
        <v>542198757.85022259</v>
      </c>
      <c r="F13" s="370">
        <f>'Financiacion REEMPLAZO'!E22+'Financiacion REEMPLAZO'!E23</f>
        <v>575381321.83065605</v>
      </c>
      <c r="G13" s="370">
        <f>'Financiacion REEMPLAZO'!F22+'Financiacion REEMPLAZO'!F23</f>
        <v>610594658.7266922</v>
      </c>
      <c r="H13" s="370">
        <f>'Financiacion REEMPLAZO'!G22+'Financiacion REEMPLAZO'!G23</f>
        <v>647963051.84076548</v>
      </c>
      <c r="I13" s="370">
        <f>'Financiacion REEMPLAZO'!H22+'Financiacion REEMPLAZO'!H23</f>
        <v>687618390.61342049</v>
      </c>
      <c r="J13" s="370">
        <f>'Financiacion REEMPLAZO'!I22+'Financiacion REEMPLAZO'!I23</f>
        <v>729700636.11896181</v>
      </c>
      <c r="K13" s="370">
        <f>'Financiacion REEMPLAZO'!J22+'Financiacion REEMPLAZO'!J23</f>
        <v>774358315.04944229</v>
      </c>
      <c r="L13" s="370">
        <f>'Financiacion REEMPLAZO'!K22+'Financiacion REEMPLAZO'!K23</f>
        <v>821749043.93046856</v>
      </c>
      <c r="M13" s="370">
        <f>'Financiacion REEMPLAZO'!L22+'Financiacion REEMPLAZO'!L23</f>
        <v>872040085.41901302</v>
      </c>
      <c r="N13" s="370">
        <f>'Financiacion REEMPLAZO'!M22+'Financiacion REEMPLAZO'!M23</f>
        <v>925408938.64665675</v>
      </c>
      <c r="O13" s="370">
        <f>'Financiacion REEMPLAZO'!N22+'Financiacion REEMPLAZO'!N23</f>
        <v>982043965.69183207</v>
      </c>
      <c r="P13" s="370">
        <f>'Financiacion REEMPLAZO'!O22+'Financiacion REEMPLAZO'!O23</f>
        <v>1042145056.3921723</v>
      </c>
      <c r="Q13" s="370">
        <f>'Financiacion REEMPLAZO'!P22+'Financiacion REEMPLAZO'!P23</f>
        <v>1105924333.8433733</v>
      </c>
      <c r="R13" s="370">
        <f>'Financiacion REEMPLAZO'!Q22+'Financiacion REEMPLAZO'!Q23</f>
        <v>1579507466.4437137</v>
      </c>
      <c r="S13" s="370">
        <f>'Financiacion REEMPLAZO'!R22+'Financiacion REEMPLAZO'!R23</f>
        <v>1668785933.1367507</v>
      </c>
      <c r="T13" s="370">
        <f>'Financiacion REEMPLAZO'!S22+'Financiacion REEMPLAZO'!S23</f>
        <v>1763210584.2105093</v>
      </c>
      <c r="U13" s="370">
        <f>'Financiacion REEMPLAZO'!T22+'Financiacion REEMPLAZO'!T23</f>
        <v>1863082706.8645105</v>
      </c>
      <c r="V13" s="370">
        <f>'Financiacion REEMPLAZO'!U22+'Financiacion REEMPLAZO'!U23</f>
        <v>1968721439.7256503</v>
      </c>
      <c r="W13" s="370">
        <f>'Financiacion REEMPLAZO'!V22+'Financiacion REEMPLAZO'!V23</f>
        <v>2080464840.0995364</v>
      </c>
      <c r="X13" s="370">
        <f>'Financiacion REEMPLAZO'!W22+'Financiacion REEMPLAZO'!W23</f>
        <v>2198671015.4515991</v>
      </c>
      <c r="Y13" s="370">
        <f>'Financiacion REEMPLAZO'!X22+'Financiacion REEMPLAZO'!X23</f>
        <v>2323719323.002141</v>
      </c>
      <c r="Z13" s="370">
        <f>'Financiacion REEMPLAZO'!Y22+'Financiacion REEMPLAZO'!Y23</f>
        <v>2456011641.5551872</v>
      </c>
      <c r="AA13" s="370">
        <f>'Financiacion REEMPLAZO'!Z22+'Financiacion REEMPLAZO'!Z23</f>
        <v>2595973719.9310484</v>
      </c>
      <c r="AB13" s="370">
        <f>'Financiacion REEMPLAZO'!AA22+'Financiacion REEMPLAZO'!AA23</f>
        <v>2744056606.6377573</v>
      </c>
      <c r="AC13" s="370">
        <f>'Financiacion REEMPLAZO'!AB22+'Financiacion REEMPLAZO'!AB23</f>
        <v>2900738165.6979351</v>
      </c>
      <c r="AD13" s="370">
        <f>'Financiacion REEMPLAZO'!AC22+'Financiacion REEMPLAZO'!AC23</f>
        <v>3066524683.8461547</v>
      </c>
      <c r="AE13" s="370">
        <f>'Financiacion REEMPLAZO'!AD22+'Financiacion REEMPLAZO'!AD23</f>
        <v>3241952574.6285686</v>
      </c>
      <c r="AF13" s="370">
        <f>'Financiacion REEMPLAZO'!AE22+'Financiacion REEMPLAZO'!AE23</f>
        <v>3427590185.272501</v>
      </c>
      <c r="AG13" s="370">
        <f>'Financiacion REEMPLAZO'!AF22+'Financiacion REEMPLAZO'!AF23</f>
        <v>3624039712.550138</v>
      </c>
      <c r="AH13" s="370">
        <f>'Financiacion REEMPLAZO'!AG22+'Financiacion REEMPLAZO'!AG23</f>
        <v>796101768.93462622</v>
      </c>
      <c r="AI13" s="370">
        <f>'Financiacion REEMPLAZO'!AH22+'Financiacion REEMPLAZO'!AH23</f>
        <v>830334144.99881518</v>
      </c>
      <c r="AJ13" s="370">
        <f>'Financiacion REEMPLAZO'!AI22+'Financiacion REEMPLAZO'!AI23</f>
        <v>866038513.23376417</v>
      </c>
      <c r="AK13" s="370">
        <f>'Financiacion REEMPLAZO'!AJ22+'Financiacion REEMPLAZO'!AJ23</f>
        <v>903278169.30281615</v>
      </c>
      <c r="AL13" s="370">
        <f>'Financiacion REEMPLAZO'!AK22+'Financiacion REEMPLAZO'!AK23</f>
        <v>942119130.5828371</v>
      </c>
      <c r="AM13" s="370">
        <f>'Financiacion REEMPLAZO'!AL22+'Financiacion REEMPLAZO'!AL23</f>
        <v>982630253.19789922</v>
      </c>
      <c r="AN13" s="370">
        <f>'Financiacion REEMPLAZO'!AM22+'Financiacion REEMPLAZO'!AM23</f>
        <v>1024883354.0854089</v>
      </c>
      <c r="AO13" s="370">
        <f>'Financiacion REEMPLAZO'!AN22+'Financiacion REEMPLAZO'!AN23</f>
        <v>1068953338.3110814</v>
      </c>
      <c r="AP13" s="370">
        <f>'Financiacion REEMPLAZO'!AO22+'Financiacion REEMPLAZO'!AO23</f>
        <v>1114918331.858458</v>
      </c>
      <c r="AQ13" s="370">
        <f>'Financiacion REEMPLAZO'!AP22+'Financiacion REEMPLAZO'!AP23</f>
        <v>1162859820.1283717</v>
      </c>
      <c r="AR13" s="370">
        <f>'Financiacion REEMPLAZO'!AQ22+'Financiacion REEMPLAZO'!AQ23</f>
        <v>1212862792.3938916</v>
      </c>
      <c r="AS13" s="370">
        <f>'Financiacion REEMPLAZO'!AR22+'Financiacion REEMPLAZO'!AR23</f>
        <v>1265015892.4668288</v>
      </c>
      <c r="AT13" s="370">
        <f>'Financiacion REEMPLAZO'!AS22+'Financiacion REEMPLAZO'!AS23</f>
        <v>1319411575.8429027</v>
      </c>
      <c r="AU13" s="370">
        <f>'Financiacion REEMPLAZO'!AT22+'Financiacion REEMPLAZO'!AT23</f>
        <v>1376146273.6041474</v>
      </c>
      <c r="AV13" s="370"/>
      <c r="AW13" s="370"/>
      <c r="AX13" s="370"/>
      <c r="AY13" s="370"/>
      <c r="AZ13" s="370"/>
      <c r="BA13" s="370"/>
      <c r="BB13" s="370"/>
    </row>
    <row r="14" spans="1:54" x14ac:dyDescent="0.25">
      <c r="A14" s="456" t="s">
        <v>619</v>
      </c>
      <c r="B14" s="457"/>
      <c r="C14" s="371">
        <v>722507045</v>
      </c>
      <c r="D14" s="371">
        <v>16170672.84</v>
      </c>
      <c r="E14" s="371"/>
      <c r="F14" s="371"/>
      <c r="G14" s="371"/>
      <c r="H14" s="371"/>
      <c r="I14" s="371"/>
      <c r="J14" s="371"/>
      <c r="K14" s="371">
        <v>11530199</v>
      </c>
      <c r="L14" s="371">
        <v>0</v>
      </c>
      <c r="M14" s="371">
        <v>1136277017.5899999</v>
      </c>
      <c r="N14" s="371">
        <v>343372363.60000002</v>
      </c>
      <c r="O14" s="371">
        <v>29102571.469999999</v>
      </c>
      <c r="P14" s="371">
        <v>1396559254</v>
      </c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</row>
    <row r="15" spans="1:54" ht="15.75" thickBot="1" x14ac:dyDescent="0.3">
      <c r="A15" s="466" t="s">
        <v>620</v>
      </c>
      <c r="B15" s="467"/>
      <c r="C15" s="372">
        <f>C12+C13+C14</f>
        <v>18403932915.68</v>
      </c>
      <c r="D15" s="372">
        <f t="shared" ref="D15:BB15" si="17">D12+D13+D14</f>
        <v>527100523.81080896</v>
      </c>
      <c r="E15" s="372">
        <f t="shared" si="17"/>
        <v>542198757.85022259</v>
      </c>
      <c r="F15" s="372">
        <f t="shared" si="17"/>
        <v>575381321.83065605</v>
      </c>
      <c r="G15" s="372">
        <f t="shared" si="17"/>
        <v>610594658.7266922</v>
      </c>
      <c r="H15" s="372">
        <f t="shared" si="17"/>
        <v>647963051.84076548</v>
      </c>
      <c r="I15" s="372">
        <f t="shared" si="17"/>
        <v>687618390.61342049</v>
      </c>
      <c r="J15" s="372">
        <f t="shared" si="17"/>
        <v>729700636.11896181</v>
      </c>
      <c r="K15" s="372">
        <f t="shared" si="17"/>
        <v>785888514.04944229</v>
      </c>
      <c r="L15" s="372">
        <f t="shared" si="17"/>
        <v>821749043.93046856</v>
      </c>
      <c r="M15" s="372">
        <f t="shared" si="17"/>
        <v>2008317103.0090129</v>
      </c>
      <c r="N15" s="372">
        <f t="shared" si="17"/>
        <v>1268781302.2466569</v>
      </c>
      <c r="O15" s="372">
        <f t="shared" si="17"/>
        <v>1011146537.1618321</v>
      </c>
      <c r="P15" s="372">
        <f t="shared" si="17"/>
        <v>2438704310.3921723</v>
      </c>
      <c r="Q15" s="372">
        <f t="shared" si="17"/>
        <v>11365924333.843372</v>
      </c>
      <c r="R15" s="372">
        <f t="shared" si="17"/>
        <v>1579507466.4437137</v>
      </c>
      <c r="S15" s="372">
        <f t="shared" si="17"/>
        <v>1668785933.1367507</v>
      </c>
      <c r="T15" s="372">
        <f t="shared" si="17"/>
        <v>1763210584.2105093</v>
      </c>
      <c r="U15" s="372">
        <f t="shared" si="17"/>
        <v>1863082706.8645105</v>
      </c>
      <c r="V15" s="372">
        <f t="shared" si="17"/>
        <v>1968721439.7256503</v>
      </c>
      <c r="W15" s="372">
        <f t="shared" si="17"/>
        <v>2080464840.0995364</v>
      </c>
      <c r="X15" s="372">
        <f t="shared" si="17"/>
        <v>2198671015.4515991</v>
      </c>
      <c r="Y15" s="372">
        <f t="shared" si="17"/>
        <v>2323719323.002141</v>
      </c>
      <c r="Z15" s="372">
        <f t="shared" si="17"/>
        <v>2456011641.5551872</v>
      </c>
      <c r="AA15" s="372">
        <f t="shared" si="17"/>
        <v>2595973719.9310484</v>
      </c>
      <c r="AB15" s="372">
        <f t="shared" si="17"/>
        <v>2744056606.6377573</v>
      </c>
      <c r="AC15" s="372">
        <f t="shared" si="17"/>
        <v>2900738165.6979351</v>
      </c>
      <c r="AD15" s="372">
        <f t="shared" si="17"/>
        <v>3066524683.8461547</v>
      </c>
      <c r="AE15" s="372">
        <f t="shared" si="17"/>
        <v>3241952574.6285686</v>
      </c>
      <c r="AF15" s="372">
        <f t="shared" si="17"/>
        <v>3427590185.272501</v>
      </c>
      <c r="AG15" s="372">
        <f t="shared" si="17"/>
        <v>3624039712.550138</v>
      </c>
      <c r="AH15" s="372">
        <f t="shared" si="17"/>
        <v>796101768.93462622</v>
      </c>
      <c r="AI15" s="372">
        <f t="shared" si="17"/>
        <v>830334144.99881518</v>
      </c>
      <c r="AJ15" s="372">
        <f t="shared" si="17"/>
        <v>866038513.23376417</v>
      </c>
      <c r="AK15" s="372">
        <f t="shared" si="17"/>
        <v>903278169.30281615</v>
      </c>
      <c r="AL15" s="372">
        <f t="shared" si="17"/>
        <v>942119130.5828371</v>
      </c>
      <c r="AM15" s="372">
        <f t="shared" si="17"/>
        <v>982630253.19789922</v>
      </c>
      <c r="AN15" s="372">
        <f t="shared" si="17"/>
        <v>1024883354.0854089</v>
      </c>
      <c r="AO15" s="372">
        <f t="shared" si="17"/>
        <v>1068953338.3110814</v>
      </c>
      <c r="AP15" s="372">
        <f t="shared" si="17"/>
        <v>1114918331.858458</v>
      </c>
      <c r="AQ15" s="372">
        <f t="shared" si="17"/>
        <v>1162859820.1283717</v>
      </c>
      <c r="AR15" s="372">
        <f t="shared" si="17"/>
        <v>1212862792.3938916</v>
      </c>
      <c r="AS15" s="372">
        <f t="shared" si="17"/>
        <v>1265015892.4668288</v>
      </c>
      <c r="AT15" s="372">
        <f t="shared" si="17"/>
        <v>1319411575.8429027</v>
      </c>
      <c r="AU15" s="372">
        <f t="shared" si="17"/>
        <v>1376146273.6041474</v>
      </c>
      <c r="AV15" s="372">
        <f t="shared" si="17"/>
        <v>0</v>
      </c>
      <c r="AW15" s="372">
        <f t="shared" si="17"/>
        <v>0</v>
      </c>
      <c r="AX15" s="372">
        <f t="shared" si="17"/>
        <v>0</v>
      </c>
      <c r="AY15" s="372">
        <f t="shared" si="17"/>
        <v>0</v>
      </c>
      <c r="AZ15" s="372">
        <f t="shared" si="17"/>
        <v>0</v>
      </c>
      <c r="BA15" s="372">
        <f t="shared" si="17"/>
        <v>0</v>
      </c>
      <c r="BB15" s="372">
        <f t="shared" si="17"/>
        <v>0</v>
      </c>
    </row>
    <row r="16" spans="1:54" ht="15.75" thickBot="1" x14ac:dyDescent="0.3">
      <c r="A16" s="468"/>
      <c r="B16" s="46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</row>
    <row r="17" spans="1:54" x14ac:dyDescent="0.25">
      <c r="A17" s="469" t="s">
        <v>680</v>
      </c>
      <c r="B17" s="470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25">
        <f>AVERAGE(E18:O18)</f>
        <v>1.1362029662636455</v>
      </c>
      <c r="Q17" s="286">
        <v>0.99839999999999995</v>
      </c>
      <c r="R17" s="286">
        <v>0.99839999999999995</v>
      </c>
      <c r="S17" s="286">
        <v>0.99839999999999995</v>
      </c>
      <c r="T17" s="286">
        <v>0.99839999999999995</v>
      </c>
      <c r="U17" s="286">
        <v>0.99839999999999995</v>
      </c>
      <c r="V17" s="286">
        <v>0.99839999999999995</v>
      </c>
      <c r="W17" s="286">
        <v>0.99839999999999995</v>
      </c>
      <c r="X17" s="286">
        <v>0.99839999999999995</v>
      </c>
      <c r="Y17" s="286">
        <v>0.99839999999999995</v>
      </c>
      <c r="Z17" s="286">
        <v>0.99839999999999995</v>
      </c>
      <c r="AA17" s="286">
        <v>0.99839999999999995</v>
      </c>
      <c r="AB17" s="286">
        <v>0.99839999999999995</v>
      </c>
      <c r="AC17" s="286">
        <v>0.99839999999999995</v>
      </c>
      <c r="AD17" s="286">
        <v>0.99839999999999995</v>
      </c>
      <c r="AE17" s="286">
        <v>0.99839999999999995</v>
      </c>
      <c r="AF17" s="286">
        <v>0.99839999999999995</v>
      </c>
      <c r="AG17" s="286">
        <v>0.99839999999999995</v>
      </c>
      <c r="AH17" s="286">
        <v>0.99839999999999995</v>
      </c>
      <c r="AI17" s="286">
        <v>0.99839999999999995</v>
      </c>
      <c r="AJ17" s="286">
        <v>0.99839999999999995</v>
      </c>
      <c r="AK17" s="286">
        <v>0.99839999999999995</v>
      </c>
      <c r="AL17" s="286">
        <v>0.99839999999999995</v>
      </c>
      <c r="AM17" s="286">
        <v>0.99839999999999995</v>
      </c>
      <c r="AN17" s="286">
        <v>0.99839999999999995</v>
      </c>
      <c r="AO17" s="286">
        <v>0.99839999999999995</v>
      </c>
      <c r="AP17" s="286">
        <v>0.99839999999999995</v>
      </c>
      <c r="AQ17" s="286">
        <v>0.99839999999999995</v>
      </c>
      <c r="AR17" s="286">
        <v>0.99839999999999995</v>
      </c>
      <c r="AS17" s="286">
        <v>0.99839999999999995</v>
      </c>
      <c r="AT17" s="286">
        <v>0.99839999999999995</v>
      </c>
      <c r="AU17" s="286">
        <v>0.99839999999999995</v>
      </c>
      <c r="AV17" s="286">
        <v>0.99839999999999995</v>
      </c>
      <c r="AW17" s="286">
        <v>0.99839999999999995</v>
      </c>
      <c r="AX17" s="286">
        <v>0.99839999999999995</v>
      </c>
      <c r="AY17" s="286">
        <v>0.99839999999999995</v>
      </c>
      <c r="AZ17" s="286">
        <v>0.99839999999999995</v>
      </c>
      <c r="BA17" s="286">
        <v>0.99839999999999995</v>
      </c>
      <c r="BB17" s="286">
        <v>0.99839999999999995</v>
      </c>
    </row>
    <row r="18" spans="1:54" ht="15.75" thickBot="1" x14ac:dyDescent="0.3">
      <c r="A18" s="471" t="s">
        <v>217</v>
      </c>
      <c r="B18" s="472"/>
      <c r="C18" s="221"/>
      <c r="D18" s="221"/>
      <c r="E18" s="226">
        <f>E21/D21</f>
        <v>0.91386896568375975</v>
      </c>
      <c r="F18" s="226">
        <f t="shared" ref="F18:Q18" si="18">F21/E21</f>
        <v>0.65509818351903326</v>
      </c>
      <c r="G18" s="226">
        <f t="shared" si="18"/>
        <v>1.4965306753246497</v>
      </c>
      <c r="H18" s="226">
        <f t="shared" si="18"/>
        <v>0.76859565670625429</v>
      </c>
      <c r="I18" s="226">
        <f t="shared" si="18"/>
        <v>1.2332140234749003</v>
      </c>
      <c r="J18" s="226">
        <f t="shared" si="18"/>
        <v>1.018267247314955</v>
      </c>
      <c r="K18" s="226">
        <f t="shared" si="18"/>
        <v>1.4256019934608684</v>
      </c>
      <c r="L18" s="226">
        <f t="shared" si="18"/>
        <v>1.5470460713499039</v>
      </c>
      <c r="M18" s="226">
        <f t="shared" si="18"/>
        <v>1.6162129692357041</v>
      </c>
      <c r="N18" s="226">
        <f t="shared" si="18"/>
        <v>0.59940625501617328</v>
      </c>
      <c r="O18" s="226">
        <f t="shared" si="18"/>
        <v>1.2243905878138974</v>
      </c>
      <c r="P18" s="226">
        <f t="shared" si="18"/>
        <v>1.1333619150756467</v>
      </c>
      <c r="Q18" s="226">
        <f t="shared" si="18"/>
        <v>0.22606451612903875</v>
      </c>
      <c r="R18" s="226">
        <f t="shared" ref="R18:BB18" si="19">R21/Q21</f>
        <v>1</v>
      </c>
      <c r="S18" s="226">
        <f t="shared" si="19"/>
        <v>1</v>
      </c>
      <c r="T18" s="226">
        <f t="shared" si="19"/>
        <v>1</v>
      </c>
      <c r="U18" s="226">
        <f t="shared" si="19"/>
        <v>1</v>
      </c>
      <c r="V18" s="226">
        <f t="shared" si="19"/>
        <v>1</v>
      </c>
      <c r="W18" s="226">
        <f t="shared" si="19"/>
        <v>1</v>
      </c>
      <c r="X18" s="226">
        <f t="shared" si="19"/>
        <v>1</v>
      </c>
      <c r="Y18" s="226">
        <f t="shared" si="19"/>
        <v>1</v>
      </c>
      <c r="Z18" s="226">
        <f t="shared" si="19"/>
        <v>1</v>
      </c>
      <c r="AA18" s="226">
        <f t="shared" si="19"/>
        <v>1</v>
      </c>
      <c r="AB18" s="226">
        <f t="shared" si="19"/>
        <v>1</v>
      </c>
      <c r="AC18" s="226">
        <f t="shared" si="19"/>
        <v>1</v>
      </c>
      <c r="AD18" s="226">
        <f t="shared" si="19"/>
        <v>1</v>
      </c>
      <c r="AE18" s="226">
        <f t="shared" si="19"/>
        <v>1</v>
      </c>
      <c r="AF18" s="226">
        <f t="shared" si="19"/>
        <v>1</v>
      </c>
      <c r="AG18" s="226">
        <f t="shared" si="19"/>
        <v>1</v>
      </c>
      <c r="AH18" s="226">
        <f t="shared" si="19"/>
        <v>1</v>
      </c>
      <c r="AI18" s="226">
        <f t="shared" si="19"/>
        <v>1</v>
      </c>
      <c r="AJ18" s="226">
        <f t="shared" si="19"/>
        <v>1</v>
      </c>
      <c r="AK18" s="226">
        <f t="shared" si="19"/>
        <v>1</v>
      </c>
      <c r="AL18" s="226">
        <f t="shared" si="19"/>
        <v>1</v>
      </c>
      <c r="AM18" s="226">
        <f t="shared" si="19"/>
        <v>1</v>
      </c>
      <c r="AN18" s="226">
        <f t="shared" si="19"/>
        <v>1</v>
      </c>
      <c r="AO18" s="226">
        <f t="shared" si="19"/>
        <v>1</v>
      </c>
      <c r="AP18" s="226">
        <f t="shared" si="19"/>
        <v>1</v>
      </c>
      <c r="AQ18" s="226">
        <f t="shared" si="19"/>
        <v>1</v>
      </c>
      <c r="AR18" s="226">
        <f t="shared" si="19"/>
        <v>1</v>
      </c>
      <c r="AS18" s="226">
        <f t="shared" si="19"/>
        <v>1</v>
      </c>
      <c r="AT18" s="226">
        <f t="shared" si="19"/>
        <v>1</v>
      </c>
      <c r="AU18" s="226">
        <f t="shared" si="19"/>
        <v>1</v>
      </c>
      <c r="AV18" s="226">
        <f t="shared" si="19"/>
        <v>1</v>
      </c>
      <c r="AW18" s="226">
        <f t="shared" si="19"/>
        <v>1</v>
      </c>
      <c r="AX18" s="226">
        <f t="shared" si="19"/>
        <v>1</v>
      </c>
      <c r="AY18" s="226">
        <f t="shared" si="19"/>
        <v>1</v>
      </c>
      <c r="AZ18" s="226">
        <f t="shared" si="19"/>
        <v>1</v>
      </c>
      <c r="BA18" s="226">
        <f t="shared" si="19"/>
        <v>1</v>
      </c>
      <c r="BB18" s="226">
        <f t="shared" si="19"/>
        <v>1</v>
      </c>
    </row>
    <row r="19" spans="1:54" ht="30" x14ac:dyDescent="0.25">
      <c r="A19" s="473" t="s">
        <v>622</v>
      </c>
      <c r="B19" s="474" t="s">
        <v>127</v>
      </c>
      <c r="C19" s="265"/>
      <c r="D19" s="218">
        <f>D24/D25*D11</f>
        <v>0</v>
      </c>
      <c r="E19" s="218">
        <f t="shared" ref="E19:P19" si="20">E24/E25*E11</f>
        <v>0</v>
      </c>
      <c r="F19" s="218">
        <f t="shared" si="20"/>
        <v>0</v>
      </c>
      <c r="G19" s="218">
        <f t="shared" si="20"/>
        <v>0</v>
      </c>
      <c r="H19" s="218">
        <f t="shared" si="20"/>
        <v>0</v>
      </c>
      <c r="I19" s="218">
        <f t="shared" si="20"/>
        <v>0</v>
      </c>
      <c r="J19" s="218">
        <f t="shared" si="20"/>
        <v>0</v>
      </c>
      <c r="K19" s="218">
        <f t="shared" si="20"/>
        <v>0</v>
      </c>
      <c r="L19" s="218"/>
      <c r="M19" s="218"/>
      <c r="N19" s="218">
        <v>11225757</v>
      </c>
      <c r="O19" s="218"/>
      <c r="P19" s="218">
        <f t="shared" si="20"/>
        <v>35370833.569873162</v>
      </c>
      <c r="Q19" s="218">
        <f>Q24/Q25*Q11</f>
        <v>0</v>
      </c>
      <c r="R19" s="218">
        <f t="shared" ref="R19:BB19" si="21">R24/R25*R11</f>
        <v>0</v>
      </c>
      <c r="S19" s="218">
        <f t="shared" si="21"/>
        <v>0</v>
      </c>
      <c r="T19" s="218">
        <f t="shared" si="21"/>
        <v>0</v>
      </c>
      <c r="U19" s="218">
        <f t="shared" si="21"/>
        <v>0</v>
      </c>
      <c r="V19" s="218">
        <f t="shared" si="21"/>
        <v>0</v>
      </c>
      <c r="W19" s="218">
        <f t="shared" si="21"/>
        <v>0</v>
      </c>
      <c r="X19" s="218">
        <f t="shared" si="21"/>
        <v>0</v>
      </c>
      <c r="Y19" s="218">
        <f t="shared" si="21"/>
        <v>0</v>
      </c>
      <c r="Z19" s="218">
        <f t="shared" si="21"/>
        <v>0</v>
      </c>
      <c r="AA19" s="218">
        <f t="shared" si="21"/>
        <v>0</v>
      </c>
      <c r="AB19" s="218">
        <f t="shared" si="21"/>
        <v>0</v>
      </c>
      <c r="AC19" s="218">
        <f t="shared" si="21"/>
        <v>0</v>
      </c>
      <c r="AD19" s="218">
        <f t="shared" si="21"/>
        <v>0</v>
      </c>
      <c r="AE19" s="218">
        <f t="shared" si="21"/>
        <v>0</v>
      </c>
      <c r="AF19" s="218">
        <f t="shared" si="21"/>
        <v>0</v>
      </c>
      <c r="AG19" s="218">
        <f t="shared" si="21"/>
        <v>0</v>
      </c>
      <c r="AH19" s="218">
        <f t="shared" si="21"/>
        <v>0</v>
      </c>
      <c r="AI19" s="218">
        <f t="shared" si="21"/>
        <v>0</v>
      </c>
      <c r="AJ19" s="218">
        <f t="shared" si="21"/>
        <v>0</v>
      </c>
      <c r="AK19" s="218">
        <f t="shared" si="21"/>
        <v>0</v>
      </c>
      <c r="AL19" s="218">
        <f t="shared" si="21"/>
        <v>0</v>
      </c>
      <c r="AM19" s="218">
        <f t="shared" si="21"/>
        <v>0</v>
      </c>
      <c r="AN19" s="218">
        <f t="shared" si="21"/>
        <v>0</v>
      </c>
      <c r="AO19" s="218">
        <f t="shared" si="21"/>
        <v>0</v>
      </c>
      <c r="AP19" s="218">
        <f t="shared" si="21"/>
        <v>0</v>
      </c>
      <c r="AQ19" s="218">
        <f t="shared" si="21"/>
        <v>0</v>
      </c>
      <c r="AR19" s="218">
        <f t="shared" si="21"/>
        <v>0</v>
      </c>
      <c r="AS19" s="218">
        <f t="shared" si="21"/>
        <v>0</v>
      </c>
      <c r="AT19" s="218">
        <f t="shared" si="21"/>
        <v>0</v>
      </c>
      <c r="AU19" s="218">
        <f t="shared" si="21"/>
        <v>0</v>
      </c>
      <c r="AV19" s="218">
        <f t="shared" si="21"/>
        <v>0</v>
      </c>
      <c r="AW19" s="218">
        <f t="shared" si="21"/>
        <v>0</v>
      </c>
      <c r="AX19" s="218">
        <f t="shared" si="21"/>
        <v>0</v>
      </c>
      <c r="AY19" s="218">
        <f t="shared" si="21"/>
        <v>0</v>
      </c>
      <c r="AZ19" s="218">
        <f t="shared" si="21"/>
        <v>0</v>
      </c>
      <c r="BA19" s="218">
        <f t="shared" si="21"/>
        <v>0</v>
      </c>
      <c r="BB19" s="218">
        <f t="shared" si="21"/>
        <v>0</v>
      </c>
    </row>
    <row r="20" spans="1:54" x14ac:dyDescent="0.25">
      <c r="A20" s="473"/>
      <c r="B20" s="474"/>
      <c r="C20" s="278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</row>
    <row r="21" spans="1:54" x14ac:dyDescent="0.25">
      <c r="A21" s="475" t="s">
        <v>207</v>
      </c>
      <c r="B21" s="476"/>
      <c r="C21" s="266"/>
      <c r="D21" s="215">
        <f>(1-'Ingresos&amp;Compensaciones'!M26)*C25</f>
        <v>24.182856000000015</v>
      </c>
      <c r="E21" s="215">
        <f>(1-'Ingresos&amp;Compensaciones'!N26)*D25</f>
        <v>22.099961599999318</v>
      </c>
      <c r="F21" s="215">
        <f>(1-'Ingresos&amp;Compensaciones'!N27)*D25</f>
        <v>14.477644699999942</v>
      </c>
      <c r="G21" s="215">
        <f>(1-'Ingresos&amp;Compensaciones'!N28)*D25</f>
        <v>21.666239400001249</v>
      </c>
      <c r="H21" s="215">
        <f>(1-'Ingresos&amp;Compensaciones'!N29)*D25</f>
        <v>16.65257749999888</v>
      </c>
      <c r="I21" s="215">
        <f>(1-'Ingresos&amp;Compensaciones'!N30)*D25</f>
        <v>20.536192100001216</v>
      </c>
      <c r="J21" s="215">
        <f>(1-'Ingresos&amp;Compensaciones'!N31)*D25</f>
        <v>20.911331799999363</v>
      </c>
      <c r="K21" s="215">
        <f>(1-'Ingresos&amp;Compensaciones'!N32)*D25</f>
        <v>29.81123630000074</v>
      </c>
      <c r="L21" s="215">
        <f>(1-'Ingresos&amp;Compensaciones'!N33)*D25</f>
        <v>46.11935599999979</v>
      </c>
      <c r="M21" s="215">
        <f>(1-'Ingresos&amp;Compensaciones'!N34)*D25</f>
        <v>74.538701299998152</v>
      </c>
      <c r="N21" s="215">
        <f>(1-'Ingresos&amp;Compensaciones'!N35)*D25</f>
        <v>44.678963800001057</v>
      </c>
      <c r="O21" s="215">
        <f>(1-'Ingresos&amp;Compensaciones'!N36)*D25</f>
        <v>54.704502749999136</v>
      </c>
      <c r="P21" s="109">
        <v>62</v>
      </c>
      <c r="Q21" s="109">
        <f>(1-Q17)*Q25</f>
        <v>14.016000000000401</v>
      </c>
      <c r="R21" s="109">
        <f t="shared" ref="R21:BB21" si="22">(1-R17)*R25</f>
        <v>14.016000000000401</v>
      </c>
      <c r="S21" s="109">
        <f t="shared" si="22"/>
        <v>14.016000000000401</v>
      </c>
      <c r="T21" s="109">
        <f t="shared" si="22"/>
        <v>14.016000000000401</v>
      </c>
      <c r="U21" s="109">
        <f t="shared" si="22"/>
        <v>14.016000000000401</v>
      </c>
      <c r="V21" s="109">
        <f t="shared" si="22"/>
        <v>14.016000000000401</v>
      </c>
      <c r="W21" s="109">
        <f t="shared" si="22"/>
        <v>14.016000000000401</v>
      </c>
      <c r="X21" s="109">
        <f t="shared" si="22"/>
        <v>14.016000000000401</v>
      </c>
      <c r="Y21" s="109">
        <f t="shared" si="22"/>
        <v>14.016000000000401</v>
      </c>
      <c r="Z21" s="109">
        <f t="shared" si="22"/>
        <v>14.016000000000401</v>
      </c>
      <c r="AA21" s="109">
        <f t="shared" si="22"/>
        <v>14.016000000000401</v>
      </c>
      <c r="AB21" s="109">
        <f t="shared" si="22"/>
        <v>14.016000000000401</v>
      </c>
      <c r="AC21" s="109">
        <f t="shared" si="22"/>
        <v>14.016000000000401</v>
      </c>
      <c r="AD21" s="109">
        <f t="shared" si="22"/>
        <v>14.016000000000401</v>
      </c>
      <c r="AE21" s="109">
        <f t="shared" si="22"/>
        <v>14.016000000000401</v>
      </c>
      <c r="AF21" s="109">
        <f t="shared" si="22"/>
        <v>14.016000000000401</v>
      </c>
      <c r="AG21" s="109">
        <f t="shared" si="22"/>
        <v>14.016000000000401</v>
      </c>
      <c r="AH21" s="109">
        <f t="shared" si="22"/>
        <v>14.016000000000401</v>
      </c>
      <c r="AI21" s="109">
        <f t="shared" si="22"/>
        <v>14.016000000000401</v>
      </c>
      <c r="AJ21" s="109">
        <f t="shared" si="22"/>
        <v>14.016000000000401</v>
      </c>
      <c r="AK21" s="109">
        <f t="shared" si="22"/>
        <v>14.016000000000401</v>
      </c>
      <c r="AL21" s="109">
        <f t="shared" si="22"/>
        <v>14.016000000000401</v>
      </c>
      <c r="AM21" s="109">
        <f t="shared" si="22"/>
        <v>14.016000000000401</v>
      </c>
      <c r="AN21" s="109">
        <f t="shared" si="22"/>
        <v>14.016000000000401</v>
      </c>
      <c r="AO21" s="109">
        <f t="shared" si="22"/>
        <v>14.016000000000401</v>
      </c>
      <c r="AP21" s="109">
        <f t="shared" si="22"/>
        <v>14.016000000000401</v>
      </c>
      <c r="AQ21" s="109">
        <f t="shared" si="22"/>
        <v>14.016000000000401</v>
      </c>
      <c r="AR21" s="109">
        <f t="shared" si="22"/>
        <v>14.016000000000401</v>
      </c>
      <c r="AS21" s="109">
        <f t="shared" si="22"/>
        <v>14.016000000000401</v>
      </c>
      <c r="AT21" s="109">
        <f t="shared" si="22"/>
        <v>14.016000000000401</v>
      </c>
      <c r="AU21" s="109">
        <f t="shared" si="22"/>
        <v>14.016000000000401</v>
      </c>
      <c r="AV21" s="109">
        <f t="shared" si="22"/>
        <v>14.016000000000401</v>
      </c>
      <c r="AW21" s="109">
        <f t="shared" si="22"/>
        <v>14.016000000000401</v>
      </c>
      <c r="AX21" s="109">
        <f t="shared" si="22"/>
        <v>14.016000000000401</v>
      </c>
      <c r="AY21" s="109">
        <f t="shared" si="22"/>
        <v>14.016000000000401</v>
      </c>
      <c r="AZ21" s="109">
        <f t="shared" si="22"/>
        <v>14.016000000000401</v>
      </c>
      <c r="BA21" s="109">
        <f t="shared" si="22"/>
        <v>14.016000000000401</v>
      </c>
      <c r="BB21" s="109">
        <f t="shared" si="22"/>
        <v>14.016000000000401</v>
      </c>
    </row>
    <row r="22" spans="1:54" x14ac:dyDescent="0.25">
      <c r="A22" s="475" t="s">
        <v>208</v>
      </c>
      <c r="B22" s="476"/>
      <c r="C22" s="266">
        <v>48</v>
      </c>
      <c r="D22" s="109">
        <v>48</v>
      </c>
      <c r="E22" s="109">
        <v>48</v>
      </c>
      <c r="F22" s="109">
        <v>48</v>
      </c>
      <c r="G22" s="109">
        <v>48</v>
      </c>
      <c r="H22" s="109">
        <v>48</v>
      </c>
      <c r="I22" s="109">
        <v>48</v>
      </c>
      <c r="J22" s="109">
        <v>48</v>
      </c>
      <c r="K22" s="109">
        <v>48</v>
      </c>
      <c r="L22" s="109">
        <v>48</v>
      </c>
      <c r="M22" s="109">
        <v>48</v>
      </c>
      <c r="N22" s="109">
        <v>48</v>
      </c>
      <c r="O22" s="109">
        <v>48</v>
      </c>
      <c r="P22" s="109">
        <v>48</v>
      </c>
      <c r="Q22" s="109">
        <v>15</v>
      </c>
      <c r="R22" s="109">
        <v>15</v>
      </c>
      <c r="S22" s="109">
        <v>15</v>
      </c>
      <c r="T22" s="109">
        <v>15</v>
      </c>
      <c r="U22" s="109">
        <v>15</v>
      </c>
      <c r="V22" s="109">
        <v>15</v>
      </c>
      <c r="W22" s="109">
        <v>15</v>
      </c>
      <c r="X22" s="109">
        <v>15</v>
      </c>
      <c r="Y22" s="109">
        <v>15</v>
      </c>
      <c r="Z22" s="109">
        <v>15</v>
      </c>
      <c r="AA22" s="109">
        <v>15</v>
      </c>
      <c r="AB22" s="109">
        <v>15</v>
      </c>
      <c r="AC22" s="109">
        <v>15</v>
      </c>
      <c r="AD22" s="109">
        <v>15</v>
      </c>
      <c r="AE22" s="109">
        <v>15</v>
      </c>
      <c r="AF22" s="109">
        <v>15</v>
      </c>
      <c r="AG22" s="109">
        <v>15</v>
      </c>
      <c r="AH22" s="109">
        <v>15</v>
      </c>
      <c r="AI22" s="109">
        <v>15</v>
      </c>
      <c r="AJ22" s="109">
        <v>15</v>
      </c>
      <c r="AK22" s="109">
        <v>15</v>
      </c>
      <c r="AL22" s="109">
        <v>15</v>
      </c>
      <c r="AM22" s="109">
        <v>15</v>
      </c>
      <c r="AN22" s="109">
        <v>15</v>
      </c>
      <c r="AO22" s="109">
        <v>15</v>
      </c>
      <c r="AP22" s="109">
        <v>15</v>
      </c>
      <c r="AQ22" s="109">
        <v>15</v>
      </c>
      <c r="AR22" s="109">
        <v>15</v>
      </c>
      <c r="AS22" s="109">
        <v>15</v>
      </c>
      <c r="AT22" s="109">
        <v>15</v>
      </c>
      <c r="AU22" s="109">
        <v>15</v>
      </c>
      <c r="AV22" s="109">
        <v>15</v>
      </c>
      <c r="AW22" s="109">
        <v>15</v>
      </c>
      <c r="AX22" s="109">
        <v>15</v>
      </c>
      <c r="AY22" s="109">
        <v>15</v>
      </c>
      <c r="AZ22" s="109">
        <v>15</v>
      </c>
      <c r="BA22" s="109">
        <v>15</v>
      </c>
      <c r="BB22" s="109">
        <v>15</v>
      </c>
    </row>
    <row r="23" spans="1:54" x14ac:dyDescent="0.25">
      <c r="A23" s="477" t="s">
        <v>209</v>
      </c>
      <c r="B23" s="478"/>
      <c r="C23" s="266"/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/>
      <c r="Q23" s="109">
        <v>0</v>
      </c>
      <c r="R23" s="109">
        <v>0</v>
      </c>
      <c r="S23" s="109">
        <v>0</v>
      </c>
      <c r="T23" s="109">
        <v>0</v>
      </c>
      <c r="U23" s="109">
        <v>0</v>
      </c>
      <c r="V23" s="109">
        <v>0</v>
      </c>
      <c r="W23" s="109">
        <v>0</v>
      </c>
      <c r="X23" s="109">
        <v>0</v>
      </c>
      <c r="Y23" s="109">
        <v>0</v>
      </c>
      <c r="Z23" s="109">
        <v>0</v>
      </c>
      <c r="AA23" s="109">
        <v>0</v>
      </c>
      <c r="AB23" s="109">
        <v>0</v>
      </c>
      <c r="AC23" s="109">
        <v>0</v>
      </c>
      <c r="AD23" s="109">
        <v>0</v>
      </c>
      <c r="AE23" s="109">
        <v>0</v>
      </c>
      <c r="AF23" s="109">
        <v>0</v>
      </c>
      <c r="AG23" s="109">
        <v>0</v>
      </c>
      <c r="AH23" s="109">
        <v>0</v>
      </c>
      <c r="AI23" s="109">
        <v>0</v>
      </c>
      <c r="AJ23" s="109">
        <v>0</v>
      </c>
      <c r="AK23" s="109">
        <v>0</v>
      </c>
      <c r="AL23" s="109">
        <v>0</v>
      </c>
      <c r="AM23" s="109">
        <v>0</v>
      </c>
      <c r="AN23" s="109">
        <v>0</v>
      </c>
      <c r="AO23" s="109">
        <v>0</v>
      </c>
      <c r="AP23" s="109">
        <v>0</v>
      </c>
      <c r="AQ23" s="109">
        <v>0</v>
      </c>
      <c r="AR23" s="109">
        <v>0</v>
      </c>
      <c r="AS23" s="109">
        <v>0</v>
      </c>
      <c r="AT23" s="109">
        <v>0</v>
      </c>
      <c r="AU23" s="109">
        <v>0</v>
      </c>
      <c r="AV23" s="109">
        <v>0</v>
      </c>
      <c r="AW23" s="109">
        <v>0</v>
      </c>
      <c r="AX23" s="109">
        <v>0</v>
      </c>
      <c r="AY23" s="109">
        <v>0</v>
      </c>
      <c r="AZ23" s="109">
        <v>0</v>
      </c>
      <c r="BA23" s="109">
        <v>0</v>
      </c>
      <c r="BB23" s="109">
        <v>0</v>
      </c>
    </row>
    <row r="24" spans="1:54" x14ac:dyDescent="0.25">
      <c r="A24" s="477" t="s">
        <v>210</v>
      </c>
      <c r="B24" s="478"/>
      <c r="C24" s="267">
        <f>+MAX(0,C21-C22-C23)</f>
        <v>0</v>
      </c>
      <c r="D24" s="216">
        <f>+MAX(0,D21-D22-D23)</f>
        <v>0</v>
      </c>
      <c r="E24" s="216">
        <f t="shared" ref="E24:Q24" si="23">+MAX(0,E21-E22-E23)</f>
        <v>0</v>
      </c>
      <c r="F24" s="216">
        <f t="shared" si="23"/>
        <v>0</v>
      </c>
      <c r="G24" s="216">
        <f t="shared" si="23"/>
        <v>0</v>
      </c>
      <c r="H24" s="216">
        <f t="shared" si="23"/>
        <v>0</v>
      </c>
      <c r="I24" s="216">
        <f t="shared" si="23"/>
        <v>0</v>
      </c>
      <c r="J24" s="216">
        <f t="shared" si="23"/>
        <v>0</v>
      </c>
      <c r="K24" s="216">
        <f t="shared" si="23"/>
        <v>0</v>
      </c>
      <c r="L24" s="216">
        <f t="shared" si="23"/>
        <v>0</v>
      </c>
      <c r="M24" s="216">
        <f t="shared" si="23"/>
        <v>26.538701299998152</v>
      </c>
      <c r="N24" s="216">
        <f t="shared" si="23"/>
        <v>0</v>
      </c>
      <c r="O24" s="216">
        <f t="shared" si="23"/>
        <v>6.7045027499991363</v>
      </c>
      <c r="P24" s="216">
        <f t="shared" si="23"/>
        <v>14</v>
      </c>
      <c r="Q24" s="216">
        <f t="shared" si="23"/>
        <v>0</v>
      </c>
      <c r="R24" s="216">
        <f t="shared" ref="R24:BB24" si="24">+MAX(0,R21-R22-R23)</f>
        <v>0</v>
      </c>
      <c r="S24" s="216">
        <f t="shared" si="24"/>
        <v>0</v>
      </c>
      <c r="T24" s="216">
        <f t="shared" si="24"/>
        <v>0</v>
      </c>
      <c r="U24" s="216">
        <f t="shared" si="24"/>
        <v>0</v>
      </c>
      <c r="V24" s="216">
        <f t="shared" si="24"/>
        <v>0</v>
      </c>
      <c r="W24" s="216">
        <f t="shared" si="24"/>
        <v>0</v>
      </c>
      <c r="X24" s="216">
        <f t="shared" si="24"/>
        <v>0</v>
      </c>
      <c r="Y24" s="216">
        <f t="shared" si="24"/>
        <v>0</v>
      </c>
      <c r="Z24" s="216">
        <f t="shared" si="24"/>
        <v>0</v>
      </c>
      <c r="AA24" s="216">
        <f t="shared" si="24"/>
        <v>0</v>
      </c>
      <c r="AB24" s="216">
        <f t="shared" si="24"/>
        <v>0</v>
      </c>
      <c r="AC24" s="216">
        <f t="shared" si="24"/>
        <v>0</v>
      </c>
      <c r="AD24" s="216">
        <f t="shared" si="24"/>
        <v>0</v>
      </c>
      <c r="AE24" s="216">
        <f t="shared" si="24"/>
        <v>0</v>
      </c>
      <c r="AF24" s="216">
        <f t="shared" si="24"/>
        <v>0</v>
      </c>
      <c r="AG24" s="216">
        <f t="shared" si="24"/>
        <v>0</v>
      </c>
      <c r="AH24" s="216">
        <f t="shared" si="24"/>
        <v>0</v>
      </c>
      <c r="AI24" s="216">
        <f t="shared" si="24"/>
        <v>0</v>
      </c>
      <c r="AJ24" s="216">
        <f t="shared" si="24"/>
        <v>0</v>
      </c>
      <c r="AK24" s="216">
        <f t="shared" si="24"/>
        <v>0</v>
      </c>
      <c r="AL24" s="216">
        <f t="shared" si="24"/>
        <v>0</v>
      </c>
      <c r="AM24" s="216">
        <f t="shared" si="24"/>
        <v>0</v>
      </c>
      <c r="AN24" s="216">
        <f t="shared" si="24"/>
        <v>0</v>
      </c>
      <c r="AO24" s="216">
        <f t="shared" si="24"/>
        <v>0</v>
      </c>
      <c r="AP24" s="216">
        <f t="shared" si="24"/>
        <v>0</v>
      </c>
      <c r="AQ24" s="216">
        <f t="shared" si="24"/>
        <v>0</v>
      </c>
      <c r="AR24" s="216">
        <f t="shared" si="24"/>
        <v>0</v>
      </c>
      <c r="AS24" s="216">
        <f t="shared" si="24"/>
        <v>0</v>
      </c>
      <c r="AT24" s="216">
        <f t="shared" si="24"/>
        <v>0</v>
      </c>
      <c r="AU24" s="216">
        <f t="shared" si="24"/>
        <v>0</v>
      </c>
      <c r="AV24" s="216">
        <f t="shared" si="24"/>
        <v>0</v>
      </c>
      <c r="AW24" s="216">
        <f t="shared" si="24"/>
        <v>0</v>
      </c>
      <c r="AX24" s="216">
        <f t="shared" si="24"/>
        <v>0</v>
      </c>
      <c r="AY24" s="216">
        <f t="shared" si="24"/>
        <v>0</v>
      </c>
      <c r="AZ24" s="216">
        <f t="shared" si="24"/>
        <v>0</v>
      </c>
      <c r="BA24" s="216">
        <f t="shared" si="24"/>
        <v>0</v>
      </c>
      <c r="BB24" s="216">
        <f t="shared" si="24"/>
        <v>0</v>
      </c>
    </row>
    <row r="25" spans="1:54" ht="15.75" thickBot="1" x14ac:dyDescent="0.3">
      <c r="A25" s="479" t="s">
        <v>211</v>
      </c>
      <c r="B25" s="480"/>
      <c r="C25" s="269">
        <f>365*24</f>
        <v>8760</v>
      </c>
      <c r="D25" s="221">
        <f>365*24</f>
        <v>8760</v>
      </c>
      <c r="E25" s="221">
        <f t="shared" ref="E25:BB25" si="25">365*24</f>
        <v>8760</v>
      </c>
      <c r="F25" s="221">
        <f t="shared" si="25"/>
        <v>8760</v>
      </c>
      <c r="G25" s="221">
        <f t="shared" si="25"/>
        <v>8760</v>
      </c>
      <c r="H25" s="221">
        <f t="shared" si="25"/>
        <v>8760</v>
      </c>
      <c r="I25" s="221">
        <f t="shared" si="25"/>
        <v>8760</v>
      </c>
      <c r="J25" s="221">
        <f t="shared" si="25"/>
        <v>8760</v>
      </c>
      <c r="K25" s="221">
        <f t="shared" si="25"/>
        <v>8760</v>
      </c>
      <c r="L25" s="221">
        <f t="shared" si="25"/>
        <v>8760</v>
      </c>
      <c r="M25" s="221">
        <f t="shared" si="25"/>
        <v>8760</v>
      </c>
      <c r="N25" s="221">
        <f t="shared" si="25"/>
        <v>8760</v>
      </c>
      <c r="O25" s="221">
        <f t="shared" si="25"/>
        <v>8760</v>
      </c>
      <c r="P25" s="221">
        <f t="shared" si="25"/>
        <v>8760</v>
      </c>
      <c r="Q25" s="221">
        <f t="shared" si="25"/>
        <v>8760</v>
      </c>
      <c r="R25" s="221">
        <f t="shared" si="25"/>
        <v>8760</v>
      </c>
      <c r="S25" s="221">
        <f t="shared" si="25"/>
        <v>8760</v>
      </c>
      <c r="T25" s="221">
        <f t="shared" si="25"/>
        <v>8760</v>
      </c>
      <c r="U25" s="221">
        <f t="shared" si="25"/>
        <v>8760</v>
      </c>
      <c r="V25" s="221">
        <f t="shared" si="25"/>
        <v>8760</v>
      </c>
      <c r="W25" s="221">
        <f t="shared" si="25"/>
        <v>8760</v>
      </c>
      <c r="X25" s="221">
        <f t="shared" si="25"/>
        <v>8760</v>
      </c>
      <c r="Y25" s="221">
        <f t="shared" si="25"/>
        <v>8760</v>
      </c>
      <c r="Z25" s="221">
        <f t="shared" si="25"/>
        <v>8760</v>
      </c>
      <c r="AA25" s="221">
        <f t="shared" si="25"/>
        <v>8760</v>
      </c>
      <c r="AB25" s="221">
        <f t="shared" si="25"/>
        <v>8760</v>
      </c>
      <c r="AC25" s="221">
        <f t="shared" si="25"/>
        <v>8760</v>
      </c>
      <c r="AD25" s="221">
        <f t="shared" si="25"/>
        <v>8760</v>
      </c>
      <c r="AE25" s="221">
        <f t="shared" si="25"/>
        <v>8760</v>
      </c>
      <c r="AF25" s="221">
        <f t="shared" si="25"/>
        <v>8760</v>
      </c>
      <c r="AG25" s="221">
        <f t="shared" si="25"/>
        <v>8760</v>
      </c>
      <c r="AH25" s="221">
        <f t="shared" si="25"/>
        <v>8760</v>
      </c>
      <c r="AI25" s="221">
        <f t="shared" si="25"/>
        <v>8760</v>
      </c>
      <c r="AJ25" s="221">
        <f t="shared" si="25"/>
        <v>8760</v>
      </c>
      <c r="AK25" s="221">
        <f t="shared" si="25"/>
        <v>8760</v>
      </c>
      <c r="AL25" s="221">
        <f t="shared" si="25"/>
        <v>8760</v>
      </c>
      <c r="AM25" s="221">
        <f t="shared" si="25"/>
        <v>8760</v>
      </c>
      <c r="AN25" s="221">
        <f t="shared" si="25"/>
        <v>8760</v>
      </c>
      <c r="AO25" s="221">
        <f t="shared" si="25"/>
        <v>8760</v>
      </c>
      <c r="AP25" s="221">
        <f t="shared" si="25"/>
        <v>8760</v>
      </c>
      <c r="AQ25" s="221">
        <f t="shared" si="25"/>
        <v>8760</v>
      </c>
      <c r="AR25" s="221">
        <f t="shared" si="25"/>
        <v>8760</v>
      </c>
      <c r="AS25" s="221">
        <f t="shared" si="25"/>
        <v>8760</v>
      </c>
      <c r="AT25" s="221">
        <f t="shared" si="25"/>
        <v>8760</v>
      </c>
      <c r="AU25" s="221">
        <f t="shared" si="25"/>
        <v>8760</v>
      </c>
      <c r="AV25" s="221">
        <f t="shared" si="25"/>
        <v>8760</v>
      </c>
      <c r="AW25" s="221">
        <f t="shared" si="25"/>
        <v>8760</v>
      </c>
      <c r="AX25" s="221">
        <f t="shared" si="25"/>
        <v>8760</v>
      </c>
      <c r="AY25" s="221">
        <f t="shared" si="25"/>
        <v>8760</v>
      </c>
      <c r="AZ25" s="221">
        <f t="shared" si="25"/>
        <v>8760</v>
      </c>
      <c r="BA25" s="221">
        <f t="shared" si="25"/>
        <v>8760</v>
      </c>
      <c r="BB25" s="221">
        <f t="shared" si="25"/>
        <v>8760</v>
      </c>
    </row>
    <row r="26" spans="1:54" ht="15.75" thickBot="1" x14ac:dyDescent="0.3">
      <c r="A26" s="481"/>
      <c r="B26" s="482"/>
      <c r="E26" s="2"/>
    </row>
    <row r="27" spans="1:54" x14ac:dyDescent="0.25">
      <c r="A27" s="483" t="s">
        <v>40</v>
      </c>
      <c r="B27" s="484"/>
      <c r="C27" s="167">
        <v>1873.77</v>
      </c>
      <c r="D27" s="157">
        <v>2229.1799999999998</v>
      </c>
      <c r="E27" s="157">
        <v>2291.1799999999998</v>
      </c>
      <c r="F27" s="157">
        <v>2864.79</v>
      </c>
      <c r="G27" s="157">
        <v>2778.21</v>
      </c>
      <c r="H27" s="157">
        <v>2389.75</v>
      </c>
      <c r="I27" s="157">
        <v>2284.2199999999998</v>
      </c>
      <c r="J27" s="157">
        <v>2238.79</v>
      </c>
      <c r="K27" s="157">
        <v>2014.76</v>
      </c>
      <c r="L27" s="157">
        <v>2243.59</v>
      </c>
      <c r="M27" s="157">
        <v>2044.23</v>
      </c>
      <c r="N27" s="157">
        <v>1913.98</v>
      </c>
      <c r="O27" s="157">
        <v>1942.7</v>
      </c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</row>
    <row r="28" spans="1:54" x14ac:dyDescent="0.25">
      <c r="A28" s="485" t="s">
        <v>124</v>
      </c>
      <c r="B28" s="486"/>
      <c r="C28" s="110">
        <v>0.12707030181135615</v>
      </c>
      <c r="D28" s="65">
        <v>0.11037796244808074</v>
      </c>
      <c r="E28" s="65">
        <v>6.9314831552369727E-2</v>
      </c>
      <c r="F28" s="65">
        <v>9.2804517672554709E-2</v>
      </c>
      <c r="G28" s="65">
        <v>5.7237211397626275E-2</v>
      </c>
      <c r="H28" s="65">
        <v>4.6404408001677444E-2</v>
      </c>
      <c r="I28" s="65">
        <v>2.0681259964665744E-2</v>
      </c>
      <c r="J28" s="65">
        <v>5.5413423847308296E-2</v>
      </c>
      <c r="K28" s="65">
        <v>1.2718241646591411E-2</v>
      </c>
      <c r="L28" s="65">
        <v>8.9958615541241738E-2</v>
      </c>
      <c r="M28" s="65">
        <v>-2.1833665519115697E-2</v>
      </c>
      <c r="N28" s="65">
        <v>4.3715846994535568E-2</v>
      </c>
      <c r="O28" s="65">
        <v>5.2001064868222535E-2</v>
      </c>
      <c r="P28" s="65">
        <v>0.03</v>
      </c>
      <c r="Q28" s="65">
        <v>0.03</v>
      </c>
      <c r="R28" s="65">
        <v>0.03</v>
      </c>
      <c r="S28" s="65">
        <v>0.03</v>
      </c>
      <c r="T28" s="65">
        <v>0.03</v>
      </c>
      <c r="U28" s="65">
        <v>0.03</v>
      </c>
      <c r="V28" s="65">
        <v>0.03</v>
      </c>
      <c r="W28" s="65">
        <v>0.03</v>
      </c>
      <c r="X28" s="65">
        <v>0.03</v>
      </c>
      <c r="Y28" s="65">
        <v>0.03</v>
      </c>
      <c r="Z28" s="65">
        <v>0.03</v>
      </c>
      <c r="AA28" s="65">
        <v>0.03</v>
      </c>
      <c r="AB28" s="65">
        <v>0.03</v>
      </c>
      <c r="AC28" s="65">
        <v>0.03</v>
      </c>
      <c r="AD28" s="65">
        <v>0.03</v>
      </c>
      <c r="AE28" s="65">
        <v>0.03</v>
      </c>
      <c r="AF28" s="65">
        <v>0.03</v>
      </c>
      <c r="AG28" s="159">
        <v>0.03</v>
      </c>
      <c r="AH28" s="159">
        <v>0.03</v>
      </c>
      <c r="AI28" s="159">
        <v>0.03</v>
      </c>
      <c r="AJ28" s="159">
        <v>0.03</v>
      </c>
      <c r="AK28" s="159">
        <v>0.03</v>
      </c>
      <c r="AL28" s="159">
        <v>0.03</v>
      </c>
      <c r="AM28" s="159">
        <v>0.03</v>
      </c>
      <c r="AN28" s="159">
        <v>0.03</v>
      </c>
      <c r="AO28" s="159">
        <v>0.03</v>
      </c>
      <c r="AP28" s="159">
        <v>0.03</v>
      </c>
      <c r="AQ28" s="159">
        <v>0.03</v>
      </c>
      <c r="AR28" s="159">
        <v>0.03</v>
      </c>
      <c r="AS28" s="159">
        <v>0.03</v>
      </c>
      <c r="AT28" s="159">
        <v>0.03</v>
      </c>
      <c r="AU28" s="159">
        <v>0.03</v>
      </c>
      <c r="AV28" s="159">
        <v>0.03</v>
      </c>
      <c r="AW28" s="159">
        <v>0.03</v>
      </c>
      <c r="AX28" s="159">
        <v>0.03</v>
      </c>
      <c r="AY28" s="159">
        <v>0.03</v>
      </c>
      <c r="AZ28" s="159">
        <v>0.03</v>
      </c>
      <c r="BA28" s="159">
        <v>0.03</v>
      </c>
      <c r="BB28" s="159">
        <v>0.03</v>
      </c>
    </row>
    <row r="29" spans="1:54" x14ac:dyDescent="0.25">
      <c r="A29" s="485" t="s">
        <v>125</v>
      </c>
      <c r="B29" s="486"/>
      <c r="C29" s="110">
        <v>9.2316999999999982E-2</v>
      </c>
      <c r="D29" s="65">
        <v>8.7504817740637675E-2</v>
      </c>
      <c r="E29" s="65">
        <v>7.6440735752167699E-2</v>
      </c>
      <c r="F29" s="65">
        <v>6.9911452138706309E-2</v>
      </c>
      <c r="G29" s="65">
        <v>6.4907535998830479E-2</v>
      </c>
      <c r="H29" s="65">
        <v>5.4979751527215237E-2</v>
      </c>
      <c r="I29" s="65">
        <v>4.8536109303838781E-2</v>
      </c>
      <c r="J29" s="65">
        <v>4.4802264829982841E-2</v>
      </c>
      <c r="K29" s="65">
        <v>5.6952417358623331E-2</v>
      </c>
      <c r="L29" s="65">
        <v>7.6698319941563176E-2</v>
      </c>
      <c r="M29" s="65">
        <v>2.0000000000000018E-2</v>
      </c>
      <c r="N29" s="65">
        <v>3.1764705882352917E-2</v>
      </c>
      <c r="O29" s="65">
        <v>3.7343215507411598E-2</v>
      </c>
      <c r="P29" s="65">
        <v>3.2000000000000001E-2</v>
      </c>
      <c r="Q29" s="65">
        <v>3.2000000000000001E-2</v>
      </c>
      <c r="R29" s="65">
        <v>3.2000000000000001E-2</v>
      </c>
      <c r="S29" s="65">
        <v>3.2000000000000001E-2</v>
      </c>
      <c r="T29" s="65">
        <v>3.2000000000000001E-2</v>
      </c>
      <c r="U29" s="65">
        <v>3.2000000000000001E-2</v>
      </c>
      <c r="V29" s="65">
        <v>3.2000000000000001E-2</v>
      </c>
      <c r="W29" s="65">
        <v>3.2000000000000001E-2</v>
      </c>
      <c r="X29" s="65">
        <v>3.2000000000000001E-2</v>
      </c>
      <c r="Y29" s="65">
        <v>3.2000000000000001E-2</v>
      </c>
      <c r="Z29" s="65">
        <v>3.2000000000000001E-2</v>
      </c>
      <c r="AA29" s="65">
        <v>3.2000000000000001E-2</v>
      </c>
      <c r="AB29" s="65">
        <v>3.2000000000000001E-2</v>
      </c>
      <c r="AC29" s="65">
        <v>3.2000000000000001E-2</v>
      </c>
      <c r="AD29" s="65">
        <v>3.2000000000000001E-2</v>
      </c>
      <c r="AE29" s="65">
        <v>3.2000000000000001E-2</v>
      </c>
      <c r="AF29" s="65">
        <v>3.2000000000000001E-2</v>
      </c>
      <c r="AG29" s="159">
        <v>3.2000000000000001E-2</v>
      </c>
      <c r="AH29" s="159">
        <v>3.2000000000000001E-2</v>
      </c>
      <c r="AI29" s="159">
        <v>3.2000000000000001E-2</v>
      </c>
      <c r="AJ29" s="159">
        <v>3.2000000000000001E-2</v>
      </c>
      <c r="AK29" s="159">
        <v>3.2000000000000001E-2</v>
      </c>
      <c r="AL29" s="159">
        <v>3.2000000000000001E-2</v>
      </c>
      <c r="AM29" s="159">
        <v>3.2000000000000001E-2</v>
      </c>
      <c r="AN29" s="159">
        <v>3.2000000000000001E-2</v>
      </c>
      <c r="AO29" s="159">
        <v>3.2000000000000001E-2</v>
      </c>
      <c r="AP29" s="159">
        <v>3.2000000000000001E-2</v>
      </c>
      <c r="AQ29" s="159">
        <v>3.2000000000000001E-2</v>
      </c>
      <c r="AR29" s="159">
        <v>3.2000000000000001E-2</v>
      </c>
      <c r="AS29" s="159">
        <v>3.2000000000000001E-2</v>
      </c>
      <c r="AT29" s="159">
        <v>3.2000000000000001E-2</v>
      </c>
      <c r="AU29" s="159">
        <v>3.2000000000000001E-2</v>
      </c>
      <c r="AV29" s="159">
        <v>3.2000000000000001E-2</v>
      </c>
      <c r="AW29" s="159">
        <v>3.2000000000000001E-2</v>
      </c>
      <c r="AX29" s="159">
        <v>3.2000000000000001E-2</v>
      </c>
      <c r="AY29" s="159">
        <v>3.2000000000000001E-2</v>
      </c>
      <c r="AZ29" s="159">
        <v>3.2000000000000001E-2</v>
      </c>
      <c r="BA29" s="159">
        <v>3.2000000000000001E-2</v>
      </c>
      <c r="BB29" s="159">
        <v>3.2000000000000001E-2</v>
      </c>
    </row>
    <row r="30" spans="1:54" ht="15.75" thickBot="1" x14ac:dyDescent="0.3">
      <c r="A30" s="487" t="s">
        <v>623</v>
      </c>
      <c r="B30" s="488"/>
      <c r="C30" s="168">
        <v>1</v>
      </c>
      <c r="D30" s="160">
        <f>+C30*(1+D28)</f>
        <v>1.1103779624480807</v>
      </c>
      <c r="E30" s="160">
        <f>+D30*(1+E28)</f>
        <v>1.1873436238746329</v>
      </c>
      <c r="F30" s="160">
        <f t="shared" ref="F30:AG30" si="26">+E30*(1+F28)</f>
        <v>1.2975344761999015</v>
      </c>
      <c r="G30" s="160">
        <f t="shared" si="26"/>
        <v>1.3718017313098636</v>
      </c>
      <c r="H30" s="160">
        <f t="shared" si="26"/>
        <v>1.435459378546974</v>
      </c>
      <c r="I30" s="160">
        <f t="shared" si="26"/>
        <v>1.4651464871234214</v>
      </c>
      <c r="J30" s="160">
        <f t="shared" si="26"/>
        <v>1.5463352704127864</v>
      </c>
      <c r="K30" s="160">
        <f t="shared" si="26"/>
        <v>1.5660019360485435</v>
      </c>
      <c r="L30" s="160">
        <f t="shared" si="26"/>
        <v>1.7068773021503747</v>
      </c>
      <c r="M30" s="160">
        <f t="shared" si="26"/>
        <v>1.6696099140530529</v>
      </c>
      <c r="N30" s="160">
        <f t="shared" si="26"/>
        <v>1.742598325596356</v>
      </c>
      <c r="O30" s="160">
        <f t="shared" si="26"/>
        <v>1.833215294164948</v>
      </c>
      <c r="P30" s="160">
        <f t="shared" si="26"/>
        <v>1.8882117529898965</v>
      </c>
      <c r="Q30" s="160">
        <f t="shared" si="26"/>
        <v>1.9448581055795935</v>
      </c>
      <c r="R30" s="160">
        <f t="shared" si="26"/>
        <v>2.0032038487469812</v>
      </c>
      <c r="S30" s="160">
        <f t="shared" si="26"/>
        <v>2.0632999642093908</v>
      </c>
      <c r="T30" s="160">
        <f t="shared" si="26"/>
        <v>2.1251989631356727</v>
      </c>
      <c r="U30" s="160">
        <f t="shared" si="26"/>
        <v>2.188954932029743</v>
      </c>
      <c r="V30" s="160">
        <f t="shared" si="26"/>
        <v>2.2546235799906356</v>
      </c>
      <c r="W30" s="160">
        <f t="shared" si="26"/>
        <v>2.3222622873903549</v>
      </c>
      <c r="X30" s="160">
        <f t="shared" si="26"/>
        <v>2.3919301560120658</v>
      </c>
      <c r="Y30" s="160">
        <f t="shared" si="26"/>
        <v>2.4636880606924279</v>
      </c>
      <c r="Z30" s="160">
        <f t="shared" si="26"/>
        <v>2.537598702513201</v>
      </c>
      <c r="AA30" s="160">
        <f t="shared" si="26"/>
        <v>2.6137266635885972</v>
      </c>
      <c r="AB30" s="160">
        <f t="shared" si="26"/>
        <v>2.6921384634962551</v>
      </c>
      <c r="AC30" s="160">
        <f t="shared" si="26"/>
        <v>2.7729026174011429</v>
      </c>
      <c r="AD30" s="160">
        <f t="shared" si="26"/>
        <v>2.8560896959231772</v>
      </c>
      <c r="AE30" s="160">
        <f t="shared" si="26"/>
        <v>2.9417723868008725</v>
      </c>
      <c r="AF30" s="160">
        <f t="shared" si="26"/>
        <v>3.030025558404899</v>
      </c>
      <c r="AG30" s="161">
        <f t="shared" si="26"/>
        <v>3.120926325157046</v>
      </c>
      <c r="AH30" s="161">
        <f t="shared" ref="AH30:BB30" si="27">+AG30*(1+AH28)</f>
        <v>3.2145541149117576</v>
      </c>
      <c r="AI30" s="161">
        <f t="shared" si="27"/>
        <v>3.3109907383591102</v>
      </c>
      <c r="AJ30" s="161">
        <f t="shared" si="27"/>
        <v>3.4103204605098836</v>
      </c>
      <c r="AK30" s="161">
        <f t="shared" si="27"/>
        <v>3.5126300743251804</v>
      </c>
      <c r="AL30" s="161">
        <f t="shared" si="27"/>
        <v>3.6180089765549357</v>
      </c>
      <c r="AM30" s="161">
        <f t="shared" si="27"/>
        <v>3.7265492458515839</v>
      </c>
      <c r="AN30" s="161">
        <f t="shared" si="27"/>
        <v>3.8383457232271314</v>
      </c>
      <c r="AO30" s="161">
        <f t="shared" si="27"/>
        <v>3.9534960949239455</v>
      </c>
      <c r="AP30" s="161">
        <f t="shared" si="27"/>
        <v>4.0721009777716644</v>
      </c>
      <c r="AQ30" s="161">
        <f t="shared" si="27"/>
        <v>4.1942640071048141</v>
      </c>
      <c r="AR30" s="161">
        <f t="shared" si="27"/>
        <v>4.320091927317959</v>
      </c>
      <c r="AS30" s="161">
        <f t="shared" si="27"/>
        <v>4.4496946851374979</v>
      </c>
      <c r="AT30" s="161">
        <f t="shared" si="27"/>
        <v>4.583185525691623</v>
      </c>
      <c r="AU30" s="161">
        <f t="shared" si="27"/>
        <v>4.7206810914623718</v>
      </c>
      <c r="AV30" s="161">
        <f t="shared" si="27"/>
        <v>4.8623015242062433</v>
      </c>
      <c r="AW30" s="161">
        <f t="shared" si="27"/>
        <v>5.0081705699324308</v>
      </c>
      <c r="AX30" s="161">
        <f t="shared" si="27"/>
        <v>5.1584156870304039</v>
      </c>
      <c r="AY30" s="161">
        <f t="shared" si="27"/>
        <v>5.3131681576413161</v>
      </c>
      <c r="AZ30" s="161">
        <f t="shared" si="27"/>
        <v>5.4725632023705559</v>
      </c>
      <c r="BA30" s="161">
        <f t="shared" si="27"/>
        <v>5.6367400984416731</v>
      </c>
      <c r="BB30" s="161">
        <f t="shared" si="27"/>
        <v>5.8058423013949234</v>
      </c>
    </row>
    <row r="31" spans="1:54" x14ac:dyDescent="0.25">
      <c r="A31" s="489"/>
      <c r="B31" s="482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</row>
    <row r="32" spans="1:54" x14ac:dyDescent="0.25">
      <c r="A32" s="489"/>
      <c r="B32" s="482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</row>
    <row r="33" spans="1:54" ht="15.75" thickBot="1" x14ac:dyDescent="0.3">
      <c r="A33" s="490" t="s">
        <v>86</v>
      </c>
      <c r="D33" s="1"/>
      <c r="E33" s="22"/>
      <c r="F33" s="1"/>
      <c r="G33" s="1"/>
      <c r="H33" s="1"/>
    </row>
    <row r="34" spans="1:54" x14ac:dyDescent="0.25">
      <c r="A34" s="592" t="s">
        <v>624</v>
      </c>
      <c r="B34" s="593"/>
      <c r="C34" s="275"/>
      <c r="D34" s="320">
        <f>D8*0.03</f>
        <v>69948760.177642569</v>
      </c>
      <c r="E34" s="320">
        <f t="shared" ref="E34:BA34" si="28">E8*0.03</f>
        <v>82406254.639008582</v>
      </c>
      <c r="F34" s="320">
        <f t="shared" si="28"/>
        <v>98206189.160958022</v>
      </c>
      <c r="G34" s="320">
        <f t="shared" si="28"/>
        <v>119125853.72540572</v>
      </c>
      <c r="H34" s="320">
        <f t="shared" si="28"/>
        <v>113768323.57158144</v>
      </c>
      <c r="I34" s="320">
        <f t="shared" si="28"/>
        <v>102615389.2994861</v>
      </c>
      <c r="J34" s="320">
        <f t="shared" si="28"/>
        <v>110038110.94493689</v>
      </c>
      <c r="K34" s="320">
        <f t="shared" si="28"/>
        <v>98222351.587070122</v>
      </c>
      <c r="L34" s="320">
        <f t="shared" si="28"/>
        <v>101284408.16788882</v>
      </c>
      <c r="M34" s="320">
        <f t="shared" si="28"/>
        <v>108647948.62129778</v>
      </c>
      <c r="N34" s="320">
        <f t="shared" si="28"/>
        <v>99808534.0845505</v>
      </c>
      <c r="O34" s="320">
        <f t="shared" si="28"/>
        <v>103399072.22013594</v>
      </c>
      <c r="P34" s="320">
        <f t="shared" si="28"/>
        <v>120015915.59428385</v>
      </c>
      <c r="Q34" s="320">
        <f t="shared" si="28"/>
        <v>125297418.53464486</v>
      </c>
      <c r="R34" s="320">
        <f t="shared" si="28"/>
        <v>132928031.32340471</v>
      </c>
      <c r="S34" s="320">
        <f t="shared" si="28"/>
        <v>141023348.43100005</v>
      </c>
      <c r="T34" s="320">
        <f t="shared" si="28"/>
        <v>149611670.35044795</v>
      </c>
      <c r="U34" s="320">
        <f t="shared" si="28"/>
        <v>158723021.07479024</v>
      </c>
      <c r="V34" s="320">
        <f t="shared" si="28"/>
        <v>168389253.05824491</v>
      </c>
      <c r="W34" s="320">
        <f t="shared" si="28"/>
        <v>178644158.56949204</v>
      </c>
      <c r="X34" s="320">
        <f t="shared" si="28"/>
        <v>189523587.82637411</v>
      </c>
      <c r="Y34" s="320">
        <f t="shared" si="28"/>
        <v>201065574.32500026</v>
      </c>
      <c r="Z34" s="320">
        <f t="shared" si="28"/>
        <v>213310467.80139276</v>
      </c>
      <c r="AA34" s="320">
        <f t="shared" si="28"/>
        <v>226301075.2904976</v>
      </c>
      <c r="AB34" s="320">
        <f t="shared" si="28"/>
        <v>240082810.77568892</v>
      </c>
      <c r="AC34" s="320">
        <f t="shared" si="28"/>
        <v>254703853.95192835</v>
      </c>
      <c r="AD34" s="320">
        <f t="shared" si="28"/>
        <v>270215318.65760076</v>
      </c>
      <c r="AE34" s="320">
        <f t="shared" si="28"/>
        <v>286671431.56384867</v>
      </c>
      <c r="AF34" s="320">
        <f t="shared" si="28"/>
        <v>304129721.74608707</v>
      </c>
      <c r="AG34" s="320">
        <f t="shared" si="28"/>
        <v>322651221.8004238</v>
      </c>
      <c r="AH34" s="320">
        <f t="shared" si="28"/>
        <v>342300681.20806956</v>
      </c>
      <c r="AI34" s="320">
        <f t="shared" si="28"/>
        <v>363146792.69364095</v>
      </c>
      <c r="AJ34" s="320">
        <f t="shared" si="28"/>
        <v>385262432.36868376</v>
      </c>
      <c r="AK34" s="320">
        <f t="shared" si="28"/>
        <v>408724914.49993658</v>
      </c>
      <c r="AL34" s="320">
        <f t="shared" si="28"/>
        <v>433616261.79298264</v>
      </c>
      <c r="AM34" s="320">
        <f t="shared" si="28"/>
        <v>460023492.13617527</v>
      </c>
      <c r="AN34" s="320">
        <f t="shared" si="28"/>
        <v>488038922.80726838</v>
      </c>
      <c r="AO34" s="320">
        <f t="shared" si="28"/>
        <v>517760493.206231</v>
      </c>
      <c r="AP34" s="320">
        <f t="shared" si="28"/>
        <v>549292107.24249041</v>
      </c>
      <c r="AQ34" s="320">
        <f t="shared" si="28"/>
        <v>582743996.57355809</v>
      </c>
      <c r="AR34" s="320">
        <f t="shared" si="28"/>
        <v>618233105.96488762</v>
      </c>
      <c r="AS34" s="320">
        <f t="shared" si="28"/>
        <v>655883502.1181494</v>
      </c>
      <c r="AT34" s="320">
        <f t="shared" si="28"/>
        <v>695826807.39714468</v>
      </c>
      <c r="AU34" s="320">
        <f t="shared" si="28"/>
        <v>738202659.96763062</v>
      </c>
      <c r="AV34" s="320">
        <f t="shared" si="28"/>
        <v>783159201.95965934</v>
      </c>
      <c r="AW34" s="320">
        <f t="shared" si="28"/>
        <v>830853597.35900247</v>
      </c>
      <c r="AX34" s="320">
        <f t="shared" si="28"/>
        <v>0</v>
      </c>
      <c r="AY34" s="320">
        <f t="shared" si="28"/>
        <v>0</v>
      </c>
      <c r="AZ34" s="320">
        <f t="shared" si="28"/>
        <v>0</v>
      </c>
      <c r="BA34" s="320">
        <f t="shared" si="28"/>
        <v>0</v>
      </c>
      <c r="BB34" s="320">
        <f>BB8*0.03</f>
        <v>0</v>
      </c>
    </row>
    <row r="35" spans="1:54" x14ac:dyDescent="0.25">
      <c r="A35" s="493" t="s">
        <v>9</v>
      </c>
      <c r="B35" s="494"/>
      <c r="C35" s="276"/>
      <c r="D35" s="95">
        <f>D8*0.07</f>
        <v>163213773.74783266</v>
      </c>
      <c r="E35" s="95">
        <f t="shared" ref="E35:BA35" si="29">E8*0.07</f>
        <v>192281260.82435337</v>
      </c>
      <c r="F35" s="95">
        <f t="shared" si="29"/>
        <v>229147774.70890206</v>
      </c>
      <c r="G35" s="95">
        <f t="shared" si="29"/>
        <v>277960325.35928005</v>
      </c>
      <c r="H35" s="95">
        <f t="shared" si="29"/>
        <v>265459421.66702342</v>
      </c>
      <c r="I35" s="95">
        <f t="shared" si="29"/>
        <v>239435908.36546758</v>
      </c>
      <c r="J35" s="95">
        <f t="shared" si="29"/>
        <v>256755592.20485276</v>
      </c>
      <c r="K35" s="95">
        <f t="shared" si="29"/>
        <v>229185487.036497</v>
      </c>
      <c r="L35" s="95">
        <f t="shared" si="29"/>
        <v>236330285.72507393</v>
      </c>
      <c r="M35" s="95">
        <f t="shared" si="29"/>
        <v>253511880.1163615</v>
      </c>
      <c r="N35" s="95">
        <f t="shared" si="29"/>
        <v>232886579.53061786</v>
      </c>
      <c r="O35" s="95">
        <f t="shared" si="29"/>
        <v>241264501.84698391</v>
      </c>
      <c r="P35" s="95">
        <f t="shared" si="29"/>
        <v>280037136.38666236</v>
      </c>
      <c r="Q35" s="95">
        <f t="shared" si="29"/>
        <v>292360643.24750471</v>
      </c>
      <c r="R35" s="95">
        <f t="shared" si="29"/>
        <v>310165406.4212777</v>
      </c>
      <c r="S35" s="95">
        <f t="shared" si="29"/>
        <v>329054479.67233354</v>
      </c>
      <c r="T35" s="95">
        <f t="shared" si="29"/>
        <v>349093897.48437864</v>
      </c>
      <c r="U35" s="95">
        <f t="shared" si="29"/>
        <v>370353715.84117728</v>
      </c>
      <c r="V35" s="95">
        <f t="shared" si="29"/>
        <v>392908257.13590491</v>
      </c>
      <c r="W35" s="95">
        <f t="shared" si="29"/>
        <v>416836369.99548155</v>
      </c>
      <c r="X35" s="95">
        <f t="shared" si="29"/>
        <v>442221704.92820632</v>
      </c>
      <c r="Y35" s="95">
        <f t="shared" si="29"/>
        <v>469153006.75833404</v>
      </c>
      <c r="Z35" s="95">
        <f t="shared" si="29"/>
        <v>497724424.86991656</v>
      </c>
      <c r="AA35" s="95">
        <f t="shared" si="29"/>
        <v>528035842.34449446</v>
      </c>
      <c r="AB35" s="95">
        <f t="shared" si="29"/>
        <v>560193225.14327419</v>
      </c>
      <c r="AC35" s="95">
        <f t="shared" si="29"/>
        <v>594308992.55449951</v>
      </c>
      <c r="AD35" s="95">
        <f t="shared" si="29"/>
        <v>630502410.20106852</v>
      </c>
      <c r="AE35" s="95">
        <f t="shared" si="29"/>
        <v>668900006.98231363</v>
      </c>
      <c r="AF35" s="95">
        <f t="shared" si="29"/>
        <v>709636017.40753663</v>
      </c>
      <c r="AG35" s="95">
        <f t="shared" si="29"/>
        <v>752852850.86765563</v>
      </c>
      <c r="AH35" s="95">
        <f t="shared" si="29"/>
        <v>798701589.48549569</v>
      </c>
      <c r="AI35" s="95">
        <f t="shared" si="29"/>
        <v>847342516.28516233</v>
      </c>
      <c r="AJ35" s="95">
        <f t="shared" si="29"/>
        <v>898945675.5269289</v>
      </c>
      <c r="AK35" s="95">
        <f t="shared" si="29"/>
        <v>953691467.16651881</v>
      </c>
      <c r="AL35" s="95">
        <f t="shared" si="29"/>
        <v>1011771277.5169597</v>
      </c>
      <c r="AM35" s="95">
        <f t="shared" si="29"/>
        <v>1073388148.3177425</v>
      </c>
      <c r="AN35" s="95">
        <f t="shared" si="29"/>
        <v>1138757486.550293</v>
      </c>
      <c r="AO35" s="95">
        <f t="shared" si="29"/>
        <v>1208107817.4812057</v>
      </c>
      <c r="AP35" s="95">
        <f t="shared" si="29"/>
        <v>1281681583.5658112</v>
      </c>
      <c r="AQ35" s="95">
        <f t="shared" si="29"/>
        <v>1359735992.0049691</v>
      </c>
      <c r="AR35" s="95">
        <f t="shared" si="29"/>
        <v>1442543913.9180715</v>
      </c>
      <c r="AS35" s="95">
        <f t="shared" si="29"/>
        <v>1530394838.275682</v>
      </c>
      <c r="AT35" s="95">
        <f t="shared" si="29"/>
        <v>1623595883.926671</v>
      </c>
      <c r="AU35" s="95">
        <f t="shared" si="29"/>
        <v>1722472873.2578051</v>
      </c>
      <c r="AV35" s="95">
        <f t="shared" si="29"/>
        <v>1827371471.2392056</v>
      </c>
      <c r="AW35" s="95">
        <f t="shared" si="29"/>
        <v>1938658393.8376727</v>
      </c>
      <c r="AX35" s="95">
        <f t="shared" si="29"/>
        <v>0</v>
      </c>
      <c r="AY35" s="95">
        <f t="shared" si="29"/>
        <v>0</v>
      </c>
      <c r="AZ35" s="95">
        <f t="shared" si="29"/>
        <v>0</v>
      </c>
      <c r="BA35" s="95">
        <f t="shared" si="29"/>
        <v>0</v>
      </c>
      <c r="BB35" s="95">
        <f>BB8*0.07</f>
        <v>0</v>
      </c>
    </row>
    <row r="36" spans="1:54" x14ac:dyDescent="0.25">
      <c r="A36" s="493" t="s">
        <v>625</v>
      </c>
      <c r="B36" s="494"/>
      <c r="C36" s="276"/>
      <c r="D36" s="93">
        <f>D8*90%</f>
        <v>2098462805.329277</v>
      </c>
      <c r="E36" s="93">
        <f t="shared" ref="E36:BA36" si="30">E8*90%</f>
        <v>2472187639.1702576</v>
      </c>
      <c r="F36" s="93">
        <f t="shared" si="30"/>
        <v>2946185674.8287406</v>
      </c>
      <c r="G36" s="93">
        <f t="shared" si="30"/>
        <v>3573775611.7621717</v>
      </c>
      <c r="H36" s="93">
        <f t="shared" si="30"/>
        <v>3413049707.1474438</v>
      </c>
      <c r="I36" s="93">
        <f t="shared" si="30"/>
        <v>3078461678.9845829</v>
      </c>
      <c r="J36" s="93">
        <f t="shared" si="30"/>
        <v>3301143328.3481069</v>
      </c>
      <c r="K36" s="93">
        <f t="shared" si="30"/>
        <v>2946670547.6121039</v>
      </c>
      <c r="L36" s="93">
        <f t="shared" si="30"/>
        <v>3038532245.036665</v>
      </c>
      <c r="M36" s="93">
        <f t="shared" si="30"/>
        <v>3259438458.6389337</v>
      </c>
      <c r="N36" s="93">
        <f t="shared" si="30"/>
        <v>2994256022.5365152</v>
      </c>
      <c r="O36" s="93">
        <f t="shared" si="30"/>
        <v>3101972166.6040788</v>
      </c>
      <c r="P36" s="93">
        <f t="shared" si="30"/>
        <v>3600477467.8285155</v>
      </c>
      <c r="Q36" s="93">
        <f t="shared" si="30"/>
        <v>3758922556.0393462</v>
      </c>
      <c r="R36" s="93">
        <f t="shared" si="30"/>
        <v>3987840939.7021418</v>
      </c>
      <c r="S36" s="93">
        <f t="shared" si="30"/>
        <v>4230700452.9300022</v>
      </c>
      <c r="T36" s="93">
        <f t="shared" si="30"/>
        <v>4488350110.5134392</v>
      </c>
      <c r="U36" s="93">
        <f t="shared" si="30"/>
        <v>4761690632.2437077</v>
      </c>
      <c r="V36" s="93">
        <f t="shared" si="30"/>
        <v>5051677591.7473478</v>
      </c>
      <c r="W36" s="93">
        <f t="shared" si="30"/>
        <v>5359324757.0847616</v>
      </c>
      <c r="X36" s="93">
        <f t="shared" si="30"/>
        <v>5685707634.7912235</v>
      </c>
      <c r="Y36" s="93">
        <f t="shared" si="30"/>
        <v>6031967229.7500086</v>
      </c>
      <c r="Z36" s="93">
        <f t="shared" si="30"/>
        <v>6399314034.0417833</v>
      </c>
      <c r="AA36" s="93">
        <f t="shared" si="30"/>
        <v>6789032258.7149286</v>
      </c>
      <c r="AB36" s="93">
        <f t="shared" si="30"/>
        <v>7202484323.270668</v>
      </c>
      <c r="AC36" s="93">
        <f t="shared" si="30"/>
        <v>7641115618.5578508</v>
      </c>
      <c r="AD36" s="93">
        <f t="shared" si="30"/>
        <v>8106459559.7280235</v>
      </c>
      <c r="AE36" s="93">
        <f t="shared" si="30"/>
        <v>8600142946.9154606</v>
      </c>
      <c r="AF36" s="93">
        <f t="shared" si="30"/>
        <v>9123891652.3826122</v>
      </c>
      <c r="AG36" s="93">
        <f t="shared" si="30"/>
        <v>9679536654.0127144</v>
      </c>
      <c r="AH36" s="93">
        <f t="shared" si="30"/>
        <v>10269020436.242086</v>
      </c>
      <c r="AI36" s="93">
        <f t="shared" si="30"/>
        <v>10894403780.809229</v>
      </c>
      <c r="AJ36" s="93">
        <f t="shared" si="30"/>
        <v>11557872971.060513</v>
      </c>
      <c r="AK36" s="93">
        <f t="shared" si="30"/>
        <v>12261747434.998098</v>
      </c>
      <c r="AL36" s="93">
        <f t="shared" si="30"/>
        <v>13008487853.78948</v>
      </c>
      <c r="AM36" s="93">
        <f t="shared" si="30"/>
        <v>13800704764.08526</v>
      </c>
      <c r="AN36" s="93">
        <f t="shared" si="30"/>
        <v>14641167684.218052</v>
      </c>
      <c r="AO36" s="93">
        <f t="shared" si="30"/>
        <v>15532814796.18693</v>
      </c>
      <c r="AP36" s="93">
        <f t="shared" si="30"/>
        <v>16478763217.274714</v>
      </c>
      <c r="AQ36" s="93">
        <f t="shared" si="30"/>
        <v>17482319897.206745</v>
      </c>
      <c r="AR36" s="93">
        <f t="shared" si="30"/>
        <v>18546993178.946632</v>
      </c>
      <c r="AS36" s="93">
        <f t="shared" si="30"/>
        <v>19676505063.544483</v>
      </c>
      <c r="AT36" s="93">
        <f t="shared" si="30"/>
        <v>20874804221.914341</v>
      </c>
      <c r="AU36" s="93">
        <f t="shared" si="30"/>
        <v>22146079799.028923</v>
      </c>
      <c r="AV36" s="93">
        <f t="shared" si="30"/>
        <v>23494776058.789783</v>
      </c>
      <c r="AW36" s="93">
        <f t="shared" si="30"/>
        <v>24925607920.770077</v>
      </c>
      <c r="AX36" s="93">
        <f t="shared" si="30"/>
        <v>0</v>
      </c>
      <c r="AY36" s="93">
        <f t="shared" si="30"/>
        <v>0</v>
      </c>
      <c r="AZ36" s="93">
        <f t="shared" si="30"/>
        <v>0</v>
      </c>
      <c r="BA36" s="93">
        <f t="shared" si="30"/>
        <v>0</v>
      </c>
      <c r="BB36" s="93">
        <f>BB8*90%</f>
        <v>0</v>
      </c>
    </row>
    <row r="37" spans="1:54" x14ac:dyDescent="0.25">
      <c r="A37" s="493" t="s">
        <v>626</v>
      </c>
      <c r="B37" s="494"/>
      <c r="C37" s="276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</row>
    <row r="38" spans="1:54" ht="15.75" thickBot="1" x14ac:dyDescent="0.3">
      <c r="A38" s="495" t="s">
        <v>29</v>
      </c>
      <c r="B38" s="496"/>
      <c r="C38" s="277"/>
      <c r="D38" s="170">
        <f>SUM(D35:D36)</f>
        <v>2261676579.0771098</v>
      </c>
      <c r="E38" s="170">
        <f>SUM(E35:E36)</f>
        <v>2664468899.9946108</v>
      </c>
      <c r="F38" s="170">
        <f>SUM(F35:F36)</f>
        <v>3175333449.5376425</v>
      </c>
      <c r="G38" s="170">
        <f>SUM(G35:G36)</f>
        <v>3851735937.1214519</v>
      </c>
      <c r="H38" s="170">
        <f>SUM(H35:H36)</f>
        <v>3678509128.8144674</v>
      </c>
      <c r="I38" s="170">
        <f t="shared" ref="I38:AG38" si="31">SUM(I35:I36)</f>
        <v>3317897587.3500504</v>
      </c>
      <c r="J38" s="170">
        <f t="shared" si="31"/>
        <v>3557898920.5529594</v>
      </c>
      <c r="K38" s="170">
        <f t="shared" si="31"/>
        <v>3175856034.6486011</v>
      </c>
      <c r="L38" s="170">
        <f t="shared" si="31"/>
        <v>3274862530.7617388</v>
      </c>
      <c r="M38" s="170">
        <f t="shared" si="31"/>
        <v>3512950338.7552953</v>
      </c>
      <c r="N38" s="170">
        <f t="shared" si="31"/>
        <v>3227142602.0671329</v>
      </c>
      <c r="O38" s="170">
        <f t="shared" si="31"/>
        <v>3343236668.4510627</v>
      </c>
      <c r="P38" s="170">
        <f t="shared" si="31"/>
        <v>3880514604.215178</v>
      </c>
      <c r="Q38" s="170">
        <f t="shared" si="31"/>
        <v>4051283199.2868509</v>
      </c>
      <c r="R38" s="170">
        <f t="shared" si="31"/>
        <v>4298006346.1234198</v>
      </c>
      <c r="S38" s="170">
        <f t="shared" si="31"/>
        <v>4559754932.6023359</v>
      </c>
      <c r="T38" s="170">
        <f t="shared" si="31"/>
        <v>4837444007.997818</v>
      </c>
      <c r="U38" s="170">
        <f t="shared" si="31"/>
        <v>5132044348.0848846</v>
      </c>
      <c r="V38" s="170">
        <f t="shared" si="31"/>
        <v>5444585848.8832531</v>
      </c>
      <c r="W38" s="170">
        <f t="shared" si="31"/>
        <v>5776161127.0802431</v>
      </c>
      <c r="X38" s="170">
        <f t="shared" si="31"/>
        <v>6127929339.71943</v>
      </c>
      <c r="Y38" s="170">
        <f t="shared" si="31"/>
        <v>6501120236.5083427</v>
      </c>
      <c r="Z38" s="170">
        <f t="shared" si="31"/>
        <v>6897038458.9117002</v>
      </c>
      <c r="AA38" s="170">
        <f t="shared" si="31"/>
        <v>7317068101.0594234</v>
      </c>
      <c r="AB38" s="170">
        <f t="shared" si="31"/>
        <v>7762677548.4139423</v>
      </c>
      <c r="AC38" s="170">
        <f t="shared" si="31"/>
        <v>8235424611.1123505</v>
      </c>
      <c r="AD38" s="170">
        <f t="shared" si="31"/>
        <v>8736961969.9290924</v>
      </c>
      <c r="AE38" s="170">
        <f t="shared" si="31"/>
        <v>9269042953.8977737</v>
      </c>
      <c r="AF38" s="170">
        <f t="shared" si="31"/>
        <v>9833527669.7901497</v>
      </c>
      <c r="AG38" s="171">
        <f t="shared" si="31"/>
        <v>10432389504.880369</v>
      </c>
      <c r="AH38" s="171">
        <f t="shared" ref="AH38:BB38" si="32">SUM(AH35:AH36)</f>
        <v>11067722025.727583</v>
      </c>
      <c r="AI38" s="171">
        <f t="shared" si="32"/>
        <v>11741746297.094391</v>
      </c>
      <c r="AJ38" s="171">
        <f t="shared" si="32"/>
        <v>12456818646.58744</v>
      </c>
      <c r="AK38" s="171">
        <f t="shared" si="32"/>
        <v>13215438902.164618</v>
      </c>
      <c r="AL38" s="171">
        <f t="shared" si="32"/>
        <v>14020259131.30644</v>
      </c>
      <c r="AM38" s="171">
        <f t="shared" si="32"/>
        <v>14874092912.403004</v>
      </c>
      <c r="AN38" s="171">
        <f t="shared" si="32"/>
        <v>15779925170.768345</v>
      </c>
      <c r="AO38" s="171">
        <f t="shared" si="32"/>
        <v>16740922613.668135</v>
      </c>
      <c r="AP38" s="171">
        <f t="shared" si="32"/>
        <v>17760444800.840523</v>
      </c>
      <c r="AQ38" s="171">
        <f t="shared" si="32"/>
        <v>18842055889.211716</v>
      </c>
      <c r="AR38" s="171">
        <f t="shared" si="32"/>
        <v>19989537092.864704</v>
      </c>
      <c r="AS38" s="171">
        <f t="shared" si="32"/>
        <v>21206899901.820164</v>
      </c>
      <c r="AT38" s="171">
        <f t="shared" si="32"/>
        <v>22498400105.841011</v>
      </c>
      <c r="AU38" s="171">
        <f t="shared" si="32"/>
        <v>23868552672.286728</v>
      </c>
      <c r="AV38" s="171">
        <f t="shared" si="32"/>
        <v>25322147530.028988</v>
      </c>
      <c r="AW38" s="171">
        <f t="shared" si="32"/>
        <v>26864266314.60775</v>
      </c>
      <c r="AX38" s="171">
        <f t="shared" si="32"/>
        <v>0</v>
      </c>
      <c r="AY38" s="171">
        <f t="shared" si="32"/>
        <v>0</v>
      </c>
      <c r="AZ38" s="171">
        <f t="shared" si="32"/>
        <v>0</v>
      </c>
      <c r="BA38" s="171">
        <f t="shared" si="32"/>
        <v>0</v>
      </c>
      <c r="BB38" s="171">
        <f t="shared" si="32"/>
        <v>0</v>
      </c>
    </row>
    <row r="39" spans="1:54" ht="15.75" thickBot="1" x14ac:dyDescent="0.3">
      <c r="A39" s="497"/>
      <c r="B39" s="482"/>
      <c r="C39" s="23"/>
      <c r="D39" s="24"/>
      <c r="E39" s="24"/>
      <c r="F39" s="24"/>
      <c r="G39" s="24"/>
      <c r="H39" s="24"/>
    </row>
    <row r="40" spans="1:54" ht="15.75" thickBot="1" x14ac:dyDescent="0.3">
      <c r="A40" s="498" t="s">
        <v>218</v>
      </c>
      <c r="B40" s="499"/>
      <c r="C40" s="186">
        <f>C5</f>
        <v>70762018612.858673</v>
      </c>
      <c r="D40" s="182">
        <f>D14</f>
        <v>16170672.84</v>
      </c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238">
        <v>1396559254</v>
      </c>
      <c r="Q40" s="182">
        <f>'CAPEX UC'!B3</f>
        <v>34200000000</v>
      </c>
      <c r="R40" s="182"/>
      <c r="S40" s="182">
        <f>+IF('F de CP'!A36=1,'Refurbishment SVC'!E55,0)*S27</f>
        <v>0</v>
      </c>
      <c r="T40" s="182"/>
      <c r="U40" s="182">
        <v>400000000</v>
      </c>
      <c r="V40" s="182"/>
      <c r="W40" s="182"/>
      <c r="X40" s="182"/>
      <c r="Y40" s="182"/>
      <c r="Z40" s="182"/>
      <c r="AA40" s="182"/>
      <c r="AB40" s="182">
        <v>400000000</v>
      </c>
      <c r="AC40" s="182"/>
      <c r="AD40" s="182"/>
      <c r="AE40" s="182"/>
      <c r="AF40" s="182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</row>
    <row r="41" spans="1:54" ht="15.75" thickBot="1" x14ac:dyDescent="0.3">
      <c r="A41" s="497"/>
      <c r="B41" s="482"/>
      <c r="C41" s="23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</row>
    <row r="42" spans="1:54" x14ac:dyDescent="0.25">
      <c r="A42" s="500" t="s">
        <v>627</v>
      </c>
      <c r="B42" s="501" t="s">
        <v>196</v>
      </c>
      <c r="C42" s="169" t="s">
        <v>197</v>
      </c>
      <c r="D42" s="6" t="s">
        <v>198</v>
      </c>
    </row>
    <row r="43" spans="1:54" x14ac:dyDescent="0.25">
      <c r="A43" s="502" t="s">
        <v>681</v>
      </c>
      <c r="B43" s="503">
        <f>82*35.35-378</f>
        <v>2520.7000000000003</v>
      </c>
      <c r="C43" s="108">
        <v>10935</v>
      </c>
      <c r="D43" s="126">
        <f>+B43*C43</f>
        <v>27563854.500000004</v>
      </c>
    </row>
    <row r="44" spans="1:54" x14ac:dyDescent="0.25">
      <c r="A44" s="502" t="s">
        <v>682</v>
      </c>
      <c r="B44" s="503">
        <v>378</v>
      </c>
      <c r="C44" s="108">
        <f>170748797/B44</f>
        <v>451716.39417989418</v>
      </c>
      <c r="D44" s="126">
        <f>+C44*B44</f>
        <v>170748797</v>
      </c>
    </row>
    <row r="45" spans="1:54" ht="15.75" thickBot="1" x14ac:dyDescent="0.3">
      <c r="A45" s="504" t="s">
        <v>630</v>
      </c>
      <c r="B45" s="505"/>
      <c r="C45" s="184"/>
      <c r="D45" s="185">
        <f>+D43+D44</f>
        <v>198312651.5</v>
      </c>
      <c r="E45" s="119"/>
      <c r="F45" s="119" t="s">
        <v>221</v>
      </c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</row>
    <row r="46" spans="1:54" ht="15.75" thickBot="1" x14ac:dyDescent="0.3">
      <c r="A46" s="506"/>
      <c r="B46" s="482"/>
      <c r="E46" s="98"/>
      <c r="F46" s="98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</row>
    <row r="47" spans="1:54" x14ac:dyDescent="0.25">
      <c r="A47" s="507" t="s">
        <v>102</v>
      </c>
      <c r="B47" s="508">
        <v>1873.77</v>
      </c>
      <c r="C47" s="151">
        <f>+B47</f>
        <v>1873.77</v>
      </c>
      <c r="E47" s="99"/>
      <c r="F47" s="98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</row>
    <row r="48" spans="1:54" x14ac:dyDescent="0.25">
      <c r="A48" s="509" t="s">
        <v>205</v>
      </c>
      <c r="B48" s="510">
        <f>17474600*1.8</f>
        <v>31454280</v>
      </c>
      <c r="C48" s="152"/>
      <c r="E48" s="99"/>
      <c r="F48" s="97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</row>
    <row r="49" spans="1:33" x14ac:dyDescent="0.25">
      <c r="A49" s="509"/>
      <c r="B49" s="510">
        <f>+B47*B48</f>
        <v>58938086235.599998</v>
      </c>
      <c r="C49" s="152"/>
      <c r="E49" s="28"/>
      <c r="F49" s="23"/>
      <c r="G49" s="28"/>
      <c r="H49" s="28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 x14ac:dyDescent="0.25">
      <c r="A50" s="509" t="s">
        <v>611</v>
      </c>
      <c r="B50" s="511">
        <f>-PMT(0.09,25,B49)</f>
        <v>6000265572.3866835</v>
      </c>
      <c r="C50" s="153">
        <f>-PMT(0.09,25,C5)</f>
        <v>7204015794.1005325</v>
      </c>
      <c r="E50" s="28"/>
      <c r="F50" s="23"/>
      <c r="G50" s="28"/>
      <c r="H50" s="28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 x14ac:dyDescent="0.25">
      <c r="A51" s="509" t="s">
        <v>631</v>
      </c>
      <c r="B51" s="512">
        <f>+B50*5%</f>
        <v>300013278.61933416</v>
      </c>
      <c r="C51" s="154">
        <f>+C50*5%</f>
        <v>360200789.70502663</v>
      </c>
      <c r="E51" s="9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</row>
    <row r="52" spans="1:33" x14ac:dyDescent="0.25">
      <c r="A52" s="509" t="s">
        <v>103</v>
      </c>
      <c r="B52" s="512">
        <f>+B49*2.5%</f>
        <v>1473452155.8900001</v>
      </c>
      <c r="C52" s="154">
        <f>+C5*2.5%</f>
        <v>1769050465.3214669</v>
      </c>
      <c r="E52" s="28"/>
      <c r="F52" s="120"/>
      <c r="G52" s="120"/>
      <c r="H52" s="120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 x14ac:dyDescent="0.25">
      <c r="A53" s="509" t="s">
        <v>683</v>
      </c>
      <c r="B53" s="512">
        <v>100000000</v>
      </c>
      <c r="C53" s="154">
        <v>100000000</v>
      </c>
      <c r="E53" s="121"/>
      <c r="F53" s="23"/>
      <c r="G53" s="28"/>
      <c r="H53" s="28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 x14ac:dyDescent="0.25">
      <c r="A54" s="509" t="s">
        <v>633</v>
      </c>
      <c r="B54" s="511">
        <f>SUM(B50:B53)</f>
        <v>7873731006.896018</v>
      </c>
      <c r="C54" s="153">
        <f>SUM(C50:C53)</f>
        <v>9433267049.1270256</v>
      </c>
      <c r="E54" s="28"/>
      <c r="F54" s="23"/>
      <c r="G54" s="28"/>
      <c r="H54" s="28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 x14ac:dyDescent="0.25">
      <c r="A55" s="513"/>
      <c r="B55" s="482"/>
      <c r="C55" s="152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 x14ac:dyDescent="0.25">
      <c r="A56" s="513" t="s">
        <v>104</v>
      </c>
      <c r="B56" s="510">
        <v>104109690000</v>
      </c>
      <c r="C56" s="152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 x14ac:dyDescent="0.25">
      <c r="A57" s="513" t="s">
        <v>611</v>
      </c>
      <c r="B57" s="514">
        <f>-PMT(11.5%,30,B56)</f>
        <v>12447780961.023449</v>
      </c>
      <c r="C57" s="152"/>
      <c r="E57" s="97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</row>
    <row r="58" spans="1:33" x14ac:dyDescent="0.25">
      <c r="A58" s="515" t="s">
        <v>105</v>
      </c>
      <c r="B58" s="512">
        <f>+B57*5%</f>
        <v>622389048.05117249</v>
      </c>
      <c r="C58" s="152"/>
      <c r="E58" s="23"/>
      <c r="F58" s="104"/>
      <c r="G58" s="104"/>
      <c r="H58" s="104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 x14ac:dyDescent="0.25">
      <c r="A59" s="513" t="s">
        <v>635</v>
      </c>
      <c r="B59" s="510">
        <f>+B56*3.14%</f>
        <v>3269044266.0000005</v>
      </c>
      <c r="C59" s="152"/>
      <c r="E59" s="97"/>
      <c r="F59" s="122"/>
      <c r="G59" s="122"/>
      <c r="H59" s="122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</row>
    <row r="60" spans="1:33" ht="15.75" thickBot="1" x14ac:dyDescent="0.3">
      <c r="A60" s="516" t="s">
        <v>684</v>
      </c>
      <c r="B60" s="517"/>
      <c r="C60" s="155"/>
      <c r="E60" s="97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</row>
    <row r="61" spans="1:33" x14ac:dyDescent="0.25">
      <c r="E61" s="23"/>
      <c r="F61" s="104"/>
      <c r="G61" s="104"/>
      <c r="H61" s="104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 ht="15.75" x14ac:dyDescent="0.25">
      <c r="A62" s="518"/>
      <c r="C62" s="30"/>
      <c r="D62" s="23"/>
    </row>
    <row r="63" spans="1:33" ht="15.75" x14ac:dyDescent="0.25">
      <c r="A63" s="518"/>
      <c r="C63" s="30"/>
      <c r="D63" s="23"/>
    </row>
    <row r="64" spans="1:33" ht="15.75" thickBot="1" x14ac:dyDescent="0.3"/>
    <row r="65" spans="1:9" ht="15.75" x14ac:dyDescent="0.25">
      <c r="A65" s="519"/>
      <c r="B65" s="520" t="s">
        <v>170</v>
      </c>
      <c r="C65" s="201">
        <v>2069.0100000000002</v>
      </c>
      <c r="D65" s="202">
        <v>5600</v>
      </c>
      <c r="E65" s="202">
        <v>11586456</v>
      </c>
      <c r="F65" s="201">
        <v>2069.0100000000002</v>
      </c>
      <c r="G65" s="202">
        <v>200000</v>
      </c>
      <c r="H65" s="202">
        <v>413802000</v>
      </c>
      <c r="I65" s="203">
        <v>425388456</v>
      </c>
    </row>
    <row r="66" spans="1:9" ht="15.75" x14ac:dyDescent="0.25">
      <c r="A66" s="521"/>
      <c r="B66" s="522" t="s">
        <v>169</v>
      </c>
      <c r="C66" s="190">
        <v>308.14</v>
      </c>
      <c r="D66" s="189">
        <v>5600</v>
      </c>
      <c r="E66" s="189">
        <v>1725584</v>
      </c>
      <c r="F66" s="190">
        <v>308.14</v>
      </c>
      <c r="G66" s="189">
        <v>50000</v>
      </c>
      <c r="H66" s="189">
        <v>15407000</v>
      </c>
      <c r="I66" s="204">
        <v>17132584</v>
      </c>
    </row>
    <row r="67" spans="1:9" ht="15.75" x14ac:dyDescent="0.25">
      <c r="A67" s="521"/>
      <c r="B67" s="522" t="s">
        <v>685</v>
      </c>
      <c r="C67" s="191"/>
      <c r="D67" s="190"/>
      <c r="E67" s="187"/>
      <c r="F67" s="187"/>
      <c r="G67" s="190"/>
      <c r="H67" s="189">
        <v>23215600</v>
      </c>
      <c r="I67" s="204">
        <v>23215600</v>
      </c>
    </row>
    <row r="68" spans="1:9" ht="31.5" x14ac:dyDescent="0.25">
      <c r="A68" s="521"/>
      <c r="B68" s="522" t="s">
        <v>686</v>
      </c>
      <c r="C68" s="191"/>
      <c r="D68" s="190"/>
      <c r="E68" s="187"/>
      <c r="F68" s="187"/>
      <c r="G68" s="190"/>
      <c r="H68" s="189">
        <v>25272200</v>
      </c>
      <c r="I68" s="204">
        <v>25272200</v>
      </c>
    </row>
    <row r="69" spans="1:9" ht="15.75" x14ac:dyDescent="0.25">
      <c r="A69" s="521"/>
      <c r="B69" s="523" t="s">
        <v>687</v>
      </c>
      <c r="C69" s="191" t="s">
        <v>129</v>
      </c>
      <c r="D69" s="190"/>
      <c r="E69" s="187"/>
      <c r="F69" s="187"/>
      <c r="G69" s="190"/>
      <c r="H69" s="189">
        <v>8000000</v>
      </c>
      <c r="I69" s="204">
        <v>8000000</v>
      </c>
    </row>
    <row r="70" spans="1:9" ht="15.75" x14ac:dyDescent="0.25">
      <c r="A70" s="524">
        <v>2.2999999999999998</v>
      </c>
      <c r="B70" s="525" t="s">
        <v>171</v>
      </c>
      <c r="C70" s="191"/>
      <c r="D70" s="190"/>
      <c r="E70" s="187"/>
      <c r="F70" s="187"/>
      <c r="G70" s="190"/>
      <c r="H70" s="187"/>
      <c r="I70" s="205"/>
    </row>
    <row r="71" spans="1:9" ht="15.75" x14ac:dyDescent="0.25">
      <c r="A71" s="521"/>
      <c r="B71" s="522" t="s">
        <v>174</v>
      </c>
      <c r="C71" s="192">
        <v>266.7</v>
      </c>
      <c r="D71" s="189">
        <v>5600</v>
      </c>
      <c r="E71" s="189">
        <v>1493520</v>
      </c>
      <c r="F71" s="187"/>
      <c r="G71" s="190"/>
      <c r="H71" s="187"/>
      <c r="I71" s="204">
        <v>1493520</v>
      </c>
    </row>
    <row r="72" spans="1:9" ht="15.75" x14ac:dyDescent="0.25">
      <c r="A72" s="521"/>
      <c r="B72" s="525" t="s">
        <v>688</v>
      </c>
      <c r="C72" s="193">
        <v>9443.92</v>
      </c>
      <c r="D72" s="190"/>
      <c r="E72" s="194">
        <v>52885952</v>
      </c>
      <c r="F72" s="194">
        <v>9177</v>
      </c>
      <c r="G72" s="190"/>
      <c r="H72" s="194">
        <v>1308744273</v>
      </c>
      <c r="I72" s="206">
        <v>1361630225</v>
      </c>
    </row>
    <row r="73" spans="1:9" ht="15.75" x14ac:dyDescent="0.25">
      <c r="A73" s="521"/>
      <c r="B73" s="522"/>
      <c r="C73" s="191"/>
      <c r="D73" s="190"/>
      <c r="E73" s="187"/>
      <c r="F73" s="187"/>
      <c r="G73" s="190"/>
      <c r="H73" s="187"/>
      <c r="I73" s="205"/>
    </row>
    <row r="74" spans="1:9" ht="15.75" x14ac:dyDescent="0.25">
      <c r="A74" s="526"/>
      <c r="B74" s="525" t="s">
        <v>580</v>
      </c>
      <c r="C74" s="195">
        <v>76144.53</v>
      </c>
      <c r="D74" s="190"/>
      <c r="E74" s="196">
        <v>426409368</v>
      </c>
      <c r="F74" s="196">
        <v>57185</v>
      </c>
      <c r="G74" s="197"/>
      <c r="H74" s="196">
        <v>8281427086</v>
      </c>
      <c r="I74" s="207">
        <v>8707836454</v>
      </c>
    </row>
    <row r="75" spans="1:9" ht="15.75" x14ac:dyDescent="0.25">
      <c r="A75" s="521"/>
      <c r="B75" s="522"/>
      <c r="C75" s="191"/>
      <c r="D75" s="190"/>
      <c r="E75" s="187"/>
      <c r="F75" s="187"/>
      <c r="G75" s="190"/>
      <c r="H75" s="187"/>
      <c r="I75" s="205"/>
    </row>
    <row r="76" spans="1:9" ht="15.75" x14ac:dyDescent="0.25">
      <c r="A76" s="527" t="s">
        <v>175</v>
      </c>
      <c r="B76" s="528" t="s">
        <v>176</v>
      </c>
      <c r="C76" s="191"/>
      <c r="D76" s="190"/>
      <c r="E76" s="187"/>
      <c r="F76" s="187"/>
      <c r="G76" s="190"/>
      <c r="H76" s="187"/>
      <c r="I76" s="205"/>
    </row>
    <row r="77" spans="1:9" ht="15.75" x14ac:dyDescent="0.25">
      <c r="A77" s="524">
        <v>3.1</v>
      </c>
      <c r="B77" s="525" t="s">
        <v>177</v>
      </c>
      <c r="C77" s="187"/>
      <c r="D77" s="190"/>
      <c r="E77" s="187"/>
      <c r="F77" s="187"/>
      <c r="G77" s="187"/>
      <c r="H77" s="187"/>
      <c r="I77" s="205"/>
    </row>
    <row r="78" spans="1:9" ht="15.75" x14ac:dyDescent="0.25">
      <c r="A78" s="521" t="s">
        <v>162</v>
      </c>
      <c r="B78" s="522" t="s">
        <v>639</v>
      </c>
      <c r="C78" s="190">
        <v>826.44</v>
      </c>
      <c r="D78" s="189">
        <v>5600</v>
      </c>
      <c r="E78" s="189">
        <v>4628064</v>
      </c>
      <c r="F78" s="188">
        <v>1652.88</v>
      </c>
      <c r="G78" s="189">
        <v>712000</v>
      </c>
      <c r="H78" s="189">
        <v>1176850560</v>
      </c>
      <c r="I78" s="204">
        <v>1181478624</v>
      </c>
    </row>
    <row r="79" spans="1:9" ht="15.75" x14ac:dyDescent="0.25">
      <c r="A79" s="524">
        <v>3.2</v>
      </c>
      <c r="B79" s="525" t="s">
        <v>168</v>
      </c>
      <c r="C79" s="187"/>
      <c r="D79" s="190"/>
      <c r="E79" s="187"/>
      <c r="F79" s="187"/>
      <c r="G79" s="187"/>
      <c r="H79" s="187"/>
      <c r="I79" s="205"/>
    </row>
    <row r="80" spans="1:9" ht="15.75" x14ac:dyDescent="0.25">
      <c r="A80" s="521" t="s">
        <v>160</v>
      </c>
      <c r="B80" s="522" t="s">
        <v>161</v>
      </c>
      <c r="C80" s="190">
        <v>11.22</v>
      </c>
      <c r="D80" s="189">
        <v>5600</v>
      </c>
      <c r="E80" s="189">
        <v>62832</v>
      </c>
      <c r="F80" s="190">
        <v>11.22</v>
      </c>
      <c r="G80" s="189">
        <v>1042823</v>
      </c>
      <c r="H80" s="189">
        <v>11700478</v>
      </c>
      <c r="I80" s="204">
        <v>11763310</v>
      </c>
    </row>
    <row r="81" spans="1:9" ht="15.75" x14ac:dyDescent="0.25">
      <c r="A81" s="521" t="s">
        <v>163</v>
      </c>
      <c r="B81" s="522" t="s">
        <v>164</v>
      </c>
      <c r="C81" s="190">
        <v>236.52</v>
      </c>
      <c r="D81" s="189">
        <v>5600</v>
      </c>
      <c r="E81" s="189">
        <v>1324512</v>
      </c>
      <c r="F81" s="190">
        <v>236.52</v>
      </c>
      <c r="G81" s="189">
        <v>633619</v>
      </c>
      <c r="H81" s="189">
        <v>149863678</v>
      </c>
      <c r="I81" s="204">
        <v>151188190</v>
      </c>
    </row>
    <row r="82" spans="1:9" ht="15.75" x14ac:dyDescent="0.25">
      <c r="A82" s="521" t="s">
        <v>165</v>
      </c>
      <c r="B82" s="522" t="s">
        <v>640</v>
      </c>
      <c r="C82" s="190">
        <v>32.99</v>
      </c>
      <c r="D82" s="189">
        <v>5600</v>
      </c>
      <c r="E82" s="189">
        <v>184744</v>
      </c>
      <c r="F82" s="190">
        <v>32.99</v>
      </c>
      <c r="G82" s="189">
        <v>362458</v>
      </c>
      <c r="H82" s="189">
        <v>11957487</v>
      </c>
      <c r="I82" s="204">
        <v>12142231</v>
      </c>
    </row>
    <row r="83" spans="1:9" ht="15.75" x14ac:dyDescent="0.25">
      <c r="A83" s="521" t="s">
        <v>166</v>
      </c>
      <c r="B83" s="522" t="s">
        <v>641</v>
      </c>
      <c r="C83" s="190">
        <v>157.47999999999999</v>
      </c>
      <c r="D83" s="189">
        <v>5600</v>
      </c>
      <c r="E83" s="189">
        <v>881888</v>
      </c>
      <c r="F83" s="190">
        <v>157.47999999999999</v>
      </c>
      <c r="G83" s="189">
        <v>479994</v>
      </c>
      <c r="H83" s="189">
        <v>75589424</v>
      </c>
      <c r="I83" s="204">
        <v>76471312</v>
      </c>
    </row>
    <row r="84" spans="1:9" ht="15.75" x14ac:dyDescent="0.25">
      <c r="A84" s="521" t="s">
        <v>167</v>
      </c>
      <c r="B84" s="522" t="s">
        <v>642</v>
      </c>
      <c r="C84" s="190">
        <v>177.71</v>
      </c>
      <c r="D84" s="189">
        <v>5600</v>
      </c>
      <c r="E84" s="189">
        <v>995176</v>
      </c>
      <c r="F84" s="190">
        <v>177.71</v>
      </c>
      <c r="G84" s="189">
        <v>182844</v>
      </c>
      <c r="H84" s="189">
        <v>32493173</v>
      </c>
      <c r="I84" s="204">
        <v>33488349</v>
      </c>
    </row>
    <row r="85" spans="1:9" ht="15.75" x14ac:dyDescent="0.25">
      <c r="A85" s="521" t="s">
        <v>178</v>
      </c>
      <c r="B85" s="522" t="s">
        <v>179</v>
      </c>
      <c r="C85" s="190">
        <v>31.62</v>
      </c>
      <c r="D85" s="189">
        <v>5600</v>
      </c>
      <c r="E85" s="189">
        <v>177072</v>
      </c>
      <c r="F85" s="190">
        <v>31.62</v>
      </c>
      <c r="G85" s="189">
        <v>946282</v>
      </c>
      <c r="H85" s="189">
        <v>29921435</v>
      </c>
      <c r="I85" s="204">
        <v>30098507</v>
      </c>
    </row>
    <row r="86" spans="1:9" ht="15.75" x14ac:dyDescent="0.25">
      <c r="A86" s="521" t="s">
        <v>180</v>
      </c>
      <c r="B86" s="522" t="s">
        <v>181</v>
      </c>
      <c r="C86" s="190">
        <v>6.36</v>
      </c>
      <c r="D86" s="189">
        <v>5600</v>
      </c>
      <c r="E86" s="189">
        <v>35616</v>
      </c>
      <c r="F86" s="190">
        <v>6.36</v>
      </c>
      <c r="G86" s="189">
        <v>801998</v>
      </c>
      <c r="H86" s="189">
        <v>5100708</v>
      </c>
      <c r="I86" s="204">
        <v>5136324</v>
      </c>
    </row>
    <row r="87" spans="1:9" ht="15.75" x14ac:dyDescent="0.25">
      <c r="A87" s="521"/>
      <c r="B87" s="522" t="s">
        <v>182</v>
      </c>
      <c r="C87" s="187"/>
      <c r="D87" s="190"/>
      <c r="E87" s="187"/>
      <c r="F87" s="187"/>
      <c r="G87" s="187"/>
      <c r="H87" s="189">
        <v>1997400</v>
      </c>
      <c r="I87" s="204">
        <v>1997400</v>
      </c>
    </row>
    <row r="88" spans="1:9" ht="15.75" x14ac:dyDescent="0.25">
      <c r="A88" s="524">
        <v>3.3</v>
      </c>
      <c r="B88" s="525" t="s">
        <v>145</v>
      </c>
      <c r="C88" s="187"/>
      <c r="D88" s="190"/>
      <c r="E88" s="187"/>
      <c r="F88" s="187"/>
      <c r="G88" s="187"/>
      <c r="H88" s="187"/>
      <c r="I88" s="205"/>
    </row>
    <row r="89" spans="1:9" ht="31.5" x14ac:dyDescent="0.25">
      <c r="A89" s="521" t="s">
        <v>183</v>
      </c>
      <c r="B89" s="522" t="s">
        <v>644</v>
      </c>
      <c r="C89" s="190">
        <v>19.16</v>
      </c>
      <c r="D89" s="189">
        <v>5600</v>
      </c>
      <c r="E89" s="189">
        <v>107296</v>
      </c>
      <c r="F89" s="190">
        <v>19.16</v>
      </c>
      <c r="G89" s="189">
        <v>531845</v>
      </c>
      <c r="H89" s="189">
        <v>10190142</v>
      </c>
      <c r="I89" s="204">
        <v>10297438</v>
      </c>
    </row>
    <row r="90" spans="1:9" ht="15.75" x14ac:dyDescent="0.25">
      <c r="A90" s="521" t="s">
        <v>184</v>
      </c>
      <c r="B90" s="522" t="s">
        <v>185</v>
      </c>
      <c r="C90" s="190">
        <v>3.35</v>
      </c>
      <c r="D90" s="189">
        <v>5600</v>
      </c>
      <c r="E90" s="189">
        <v>18760</v>
      </c>
      <c r="F90" s="190">
        <v>3.35</v>
      </c>
      <c r="G90" s="189">
        <v>1064569</v>
      </c>
      <c r="H90" s="189">
        <v>3566305</v>
      </c>
      <c r="I90" s="204">
        <v>3585065</v>
      </c>
    </row>
    <row r="91" spans="1:9" ht="15.75" x14ac:dyDescent="0.25">
      <c r="A91" s="521" t="s">
        <v>186</v>
      </c>
      <c r="B91" s="522" t="s">
        <v>689</v>
      </c>
      <c r="C91" s="190">
        <v>14.24</v>
      </c>
      <c r="D91" s="189">
        <v>5600</v>
      </c>
      <c r="E91" s="189">
        <v>79744</v>
      </c>
      <c r="F91" s="190">
        <v>14.24</v>
      </c>
      <c r="G91" s="189">
        <v>86990</v>
      </c>
      <c r="H91" s="189">
        <v>1238743</v>
      </c>
      <c r="I91" s="204">
        <v>1318487</v>
      </c>
    </row>
    <row r="92" spans="1:9" ht="15.75" x14ac:dyDescent="0.25">
      <c r="A92" s="521"/>
      <c r="B92" s="522" t="s">
        <v>187</v>
      </c>
      <c r="C92" s="190">
        <v>20.9</v>
      </c>
      <c r="D92" s="189">
        <v>5600</v>
      </c>
      <c r="E92" s="189">
        <v>117040</v>
      </c>
      <c r="F92" s="190">
        <v>20.9</v>
      </c>
      <c r="G92" s="198">
        <v>280852</v>
      </c>
      <c r="H92" s="189">
        <v>5869807</v>
      </c>
      <c r="I92" s="204">
        <v>5986847</v>
      </c>
    </row>
    <row r="93" spans="1:9" ht="15.75" x14ac:dyDescent="0.25">
      <c r="A93" s="521"/>
      <c r="B93" s="522" t="s">
        <v>170</v>
      </c>
      <c r="C93" s="188">
        <v>2904.94</v>
      </c>
      <c r="D93" s="189">
        <v>5600</v>
      </c>
      <c r="E93" s="189">
        <v>16267664</v>
      </c>
      <c r="F93" s="188">
        <v>2904.94</v>
      </c>
      <c r="G93" s="189">
        <v>200000</v>
      </c>
      <c r="H93" s="189">
        <v>580988000</v>
      </c>
      <c r="I93" s="204">
        <v>597255664</v>
      </c>
    </row>
    <row r="94" spans="1:9" ht="15.75" x14ac:dyDescent="0.25">
      <c r="A94" s="521"/>
      <c r="B94" s="522" t="s">
        <v>169</v>
      </c>
      <c r="C94" s="190">
        <v>671.51</v>
      </c>
      <c r="D94" s="189">
        <v>5600</v>
      </c>
      <c r="E94" s="189">
        <v>3760456</v>
      </c>
      <c r="F94" s="190">
        <v>671.51</v>
      </c>
      <c r="G94" s="189">
        <v>50000</v>
      </c>
      <c r="H94" s="189">
        <v>33575500</v>
      </c>
      <c r="I94" s="204">
        <v>37335956</v>
      </c>
    </row>
    <row r="95" spans="1:9" ht="15.75" x14ac:dyDescent="0.25">
      <c r="A95" s="521"/>
      <c r="B95" s="522" t="s">
        <v>188</v>
      </c>
      <c r="C95" s="190">
        <v>117.22</v>
      </c>
      <c r="D95" s="189">
        <v>5600</v>
      </c>
      <c r="E95" s="189">
        <v>656432</v>
      </c>
      <c r="F95" s="190">
        <v>117.22</v>
      </c>
      <c r="G95" s="189">
        <v>200000</v>
      </c>
      <c r="H95" s="189">
        <v>23444000</v>
      </c>
      <c r="I95" s="204">
        <v>24100432</v>
      </c>
    </row>
    <row r="96" spans="1:9" ht="15.75" x14ac:dyDescent="0.25">
      <c r="A96" s="521"/>
      <c r="B96" s="522" t="s">
        <v>189</v>
      </c>
      <c r="C96" s="187"/>
      <c r="D96" s="190"/>
      <c r="E96" s="187"/>
      <c r="F96" s="187"/>
      <c r="G96" s="187"/>
      <c r="H96" s="189">
        <v>54270000</v>
      </c>
      <c r="I96" s="204">
        <v>54270000</v>
      </c>
    </row>
    <row r="97" spans="1:9" ht="15.75" x14ac:dyDescent="0.25">
      <c r="A97" s="521"/>
      <c r="B97" s="522" t="s">
        <v>190</v>
      </c>
      <c r="C97" s="187"/>
      <c r="D97" s="190"/>
      <c r="E97" s="187"/>
      <c r="F97" s="187"/>
      <c r="G97" s="187"/>
      <c r="H97" s="189">
        <v>1465100</v>
      </c>
      <c r="I97" s="204">
        <v>1465100</v>
      </c>
    </row>
    <row r="98" spans="1:9" ht="15.75" x14ac:dyDescent="0.25">
      <c r="A98" s="521"/>
      <c r="B98" s="522" t="s">
        <v>191</v>
      </c>
      <c r="C98" s="187"/>
      <c r="D98" s="190"/>
      <c r="E98" s="187"/>
      <c r="F98" s="187"/>
      <c r="G98" s="187"/>
      <c r="H98" s="189">
        <v>27008800</v>
      </c>
      <c r="I98" s="204">
        <v>27008800</v>
      </c>
    </row>
    <row r="99" spans="1:9" ht="15.75" x14ac:dyDescent="0.25">
      <c r="A99" s="521"/>
      <c r="B99" s="523" t="s">
        <v>646</v>
      </c>
      <c r="C99" s="187"/>
      <c r="D99" s="190"/>
      <c r="E99" s="187"/>
      <c r="F99" s="187"/>
      <c r="G99" s="187"/>
      <c r="H99" s="189">
        <v>4000000</v>
      </c>
      <c r="I99" s="204">
        <v>4000000</v>
      </c>
    </row>
    <row r="100" spans="1:9" ht="31.5" x14ac:dyDescent="0.25">
      <c r="A100" s="521"/>
      <c r="B100" s="522" t="s">
        <v>647</v>
      </c>
      <c r="C100" s="187"/>
      <c r="D100" s="190"/>
      <c r="E100" s="187"/>
      <c r="F100" s="187"/>
      <c r="G100" s="187"/>
      <c r="H100" s="189">
        <v>293610400</v>
      </c>
      <c r="I100" s="204">
        <v>293610400</v>
      </c>
    </row>
    <row r="101" spans="1:9" ht="31.5" x14ac:dyDescent="0.25">
      <c r="A101" s="521"/>
      <c r="B101" s="522" t="s">
        <v>193</v>
      </c>
      <c r="C101" s="187"/>
      <c r="D101" s="190"/>
      <c r="E101" s="187"/>
      <c r="F101" s="187"/>
      <c r="G101" s="187"/>
      <c r="H101" s="189">
        <v>39169900</v>
      </c>
      <c r="I101" s="204">
        <v>39169900</v>
      </c>
    </row>
    <row r="102" spans="1:9" ht="15.75" x14ac:dyDescent="0.25">
      <c r="A102" s="524">
        <v>3.4</v>
      </c>
      <c r="B102" s="528" t="s">
        <v>33</v>
      </c>
      <c r="C102" s="187"/>
      <c r="D102" s="190"/>
      <c r="E102" s="187"/>
      <c r="F102" s="187"/>
      <c r="G102" s="187"/>
      <c r="H102" s="187"/>
      <c r="I102" s="205"/>
    </row>
    <row r="103" spans="1:9" ht="15.75" x14ac:dyDescent="0.25">
      <c r="A103" s="521"/>
      <c r="B103" s="523" t="s">
        <v>648</v>
      </c>
      <c r="C103" s="199">
        <v>51785.64</v>
      </c>
      <c r="D103" s="189">
        <v>5600</v>
      </c>
      <c r="E103" s="189">
        <v>289999584</v>
      </c>
      <c r="F103" s="187"/>
      <c r="G103" s="187"/>
      <c r="H103" s="187"/>
      <c r="I103" s="204">
        <v>289999584</v>
      </c>
    </row>
    <row r="104" spans="1:9" ht="15.75" x14ac:dyDescent="0.25">
      <c r="A104" s="521"/>
      <c r="B104" s="525" t="s">
        <v>578</v>
      </c>
      <c r="C104" s="193">
        <v>57017.3</v>
      </c>
      <c r="D104" s="190"/>
      <c r="E104" s="200">
        <v>319296880</v>
      </c>
      <c r="F104" s="200">
        <v>6058</v>
      </c>
      <c r="G104" s="187"/>
      <c r="H104" s="200">
        <v>2573871041</v>
      </c>
      <c r="I104" s="208">
        <v>2893167921</v>
      </c>
    </row>
    <row r="105" spans="1:9" ht="15.75" x14ac:dyDescent="0.25">
      <c r="A105" s="521"/>
      <c r="B105" s="523"/>
      <c r="C105" s="187"/>
      <c r="D105" s="190"/>
      <c r="E105" s="187"/>
      <c r="F105" s="187"/>
      <c r="G105" s="187"/>
      <c r="H105" s="187"/>
      <c r="I105" s="205"/>
    </row>
    <row r="106" spans="1:9" ht="16.5" thickBot="1" x14ac:dyDescent="0.3">
      <c r="A106" s="529"/>
      <c r="B106" s="530" t="s">
        <v>690</v>
      </c>
      <c r="C106" s="210">
        <v>133161.82999999999</v>
      </c>
      <c r="D106" s="211"/>
      <c r="E106" s="212">
        <v>745706248</v>
      </c>
      <c r="F106" s="213">
        <v>63243.09</v>
      </c>
      <c r="G106" s="209"/>
      <c r="H106" s="212">
        <v>10855298127</v>
      </c>
      <c r="I106" s="214">
        <v>11601004375</v>
      </c>
    </row>
  </sheetData>
  <scenarios current="9" show="9" sqref="P19">
    <scenario name="C1" locked="1" count="1" user="Eduardo Carrasquilla Franco" comment="Creado por Eduardo Carrasquilla Franco el 14/07/2013">
      <inputCells r="P21" val="10"/>
    </scenario>
    <scenario name="C2" locked="1" count="1" user="Eduardo Carrasquilla Franco" comment="Creado por Eduardo Carrasquilla Franco el 14/07/2013">
      <inputCells r="P21" val="20"/>
    </scenario>
    <scenario name="C3" locked="1" count="1" user="Eduardo Carrasquilla Franco" comment="Creado por Eduardo Carrasquilla Franco el 14/07/2013">
      <inputCells r="P21" val="30"/>
    </scenario>
    <scenario name="C4" locked="1" count="1" user="Eduardo Carrasquilla Franco" comment="Creado por Eduardo Carrasquilla Franco el 14/07/2013">
      <inputCells r="P21" val="40"/>
    </scenario>
    <scenario name="C5" locked="1" count="1" user="Eduardo Carrasquilla Franco" comment="Creado por Eduardo Carrasquilla Franco el 14/07/2013">
      <inputCells r="P21" val="50"/>
    </scenario>
    <scenario name="C7" locked="1" count="1" user="Eduardo Carrasquilla Franco" comment="Creado por Eduardo Carrasquilla Franco el 14/07/2013">
      <inputCells r="P21" val="60"/>
    </scenario>
    <scenario name="C8" locked="1" count="1" user="Eduardo Carrasquilla Franco" comment="Creado por Eduardo Carrasquilla Franco el 14/07/2013">
      <inputCells r="P21" val="80"/>
    </scenario>
    <scenario name="C9" locked="1" count="1" user="Eduardo Carrasquilla Franco" comment="Creado por Eduardo Carrasquilla Franco el 14/07/2013">
      <inputCells r="P21" val="90"/>
    </scenario>
    <scenario name="C10" locked="1" count="1" user="Eduardo Carrasquilla Franco" comment="Creado por Eduardo Carrasquilla Franco el 14/07/2013">
      <inputCells r="P21" val="100"/>
    </scenario>
    <scenario name="C6" locked="1" count="1" user="Eduardo Carrasquilla Franco" comment="Creado por Eduardo Carrasquilla Franco el 14/07/2013">
      <inputCells r="P21" val="60"/>
    </scenario>
  </scenarios>
  <mergeCells count="30">
    <mergeCell ref="A35:B35"/>
    <mergeCell ref="A36:B36"/>
    <mergeCell ref="A37:B37"/>
    <mergeCell ref="A38:B38"/>
    <mergeCell ref="A40:B40"/>
    <mergeCell ref="A34:B34"/>
    <mergeCell ref="A17:B17"/>
    <mergeCell ref="A18:B18"/>
    <mergeCell ref="A21:B21"/>
    <mergeCell ref="A22:B22"/>
    <mergeCell ref="A23:B23"/>
    <mergeCell ref="A24:B24"/>
    <mergeCell ref="A25:B25"/>
    <mergeCell ref="A27:B27"/>
    <mergeCell ref="A28:B28"/>
    <mergeCell ref="A29:B29"/>
    <mergeCell ref="A30:B30"/>
    <mergeCell ref="A15:B15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4:B14"/>
    <mergeCell ref="A13:B13"/>
  </mergeCells>
  <pageMargins left="0.7" right="0.7" top="0.75" bottom="0.75" header="0.3" footer="0.3"/>
  <pageSetup scale="54" orientation="landscape" r:id="rId1"/>
  <headerFooter>
    <oddHeader>&amp;C&amp;F-&amp;A-&amp;P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T49"/>
  <sheetViews>
    <sheetView topLeftCell="A28" zoomScale="110" zoomScaleNormal="110" workbookViewId="0">
      <pane xSplit="1" topLeftCell="B1" activePane="topRight" state="frozen"/>
      <selection pane="topRight" activeCell="E27" sqref="E27:E29"/>
    </sheetView>
  </sheetViews>
  <sheetFormatPr baseColWidth="10" defaultColWidth="10.85546875" defaultRowHeight="15" x14ac:dyDescent="0.25"/>
  <cols>
    <col min="1" max="1" width="37.42578125" style="570" customWidth="1"/>
    <col min="2" max="2" width="25.28515625" style="33" bestFit="1" customWidth="1"/>
    <col min="3" max="3" width="16.28515625" style="33" customWidth="1"/>
    <col min="4" max="4" width="15.140625" style="33" customWidth="1"/>
    <col min="5" max="5" width="15.7109375" style="33" customWidth="1"/>
    <col min="6" max="6" width="15.85546875" style="33" customWidth="1"/>
    <col min="7" max="7" width="16.42578125" style="33" customWidth="1"/>
    <col min="8" max="8" width="14.28515625" style="33" customWidth="1"/>
    <col min="9" max="14" width="13.85546875" style="33" bestFit="1" customWidth="1"/>
    <col min="15" max="23" width="14.85546875" style="33" bestFit="1" customWidth="1"/>
    <col min="24" max="46" width="13.7109375" style="33" bestFit="1" customWidth="1"/>
    <col min="47" max="16384" width="10.85546875" style="33"/>
  </cols>
  <sheetData>
    <row r="1" spans="1:46" x14ac:dyDescent="0.25">
      <c r="A1" s="570" t="s">
        <v>650</v>
      </c>
      <c r="B1" s="41"/>
      <c r="C1" s="41"/>
      <c r="D1" s="41"/>
      <c r="E1" s="41"/>
      <c r="F1" s="41"/>
      <c r="G1" s="41"/>
      <c r="K1" s="49"/>
    </row>
    <row r="2" spans="1:46" x14ac:dyDescent="0.25">
      <c r="B2" s="41"/>
      <c r="C2" s="41"/>
      <c r="D2" s="41"/>
      <c r="E2" s="41"/>
      <c r="F2" s="41"/>
      <c r="G2" s="41"/>
    </row>
    <row r="3" spans="1:46" x14ac:dyDescent="0.25">
      <c r="A3" s="571" t="s">
        <v>651</v>
      </c>
      <c r="B3" s="40"/>
      <c r="C3" s="41"/>
      <c r="D3" s="41"/>
      <c r="E3" s="41"/>
      <c r="F3" s="41"/>
      <c r="G3" s="41"/>
    </row>
    <row r="4" spans="1:46" x14ac:dyDescent="0.25">
      <c r="A4" s="571"/>
      <c r="B4" s="351" t="s">
        <v>430</v>
      </c>
      <c r="C4" s="351" t="s">
        <v>431</v>
      </c>
      <c r="D4" s="41"/>
      <c r="E4" s="41"/>
      <c r="F4" s="41"/>
      <c r="G4" s="41"/>
    </row>
    <row r="5" spans="1:46" x14ac:dyDescent="0.25">
      <c r="A5" s="572" t="s">
        <v>691</v>
      </c>
      <c r="B5" s="59">
        <v>58938086235.599998</v>
      </c>
      <c r="C5" s="60">
        <f>'CAPEX UC'!B3</f>
        <v>34200000000</v>
      </c>
      <c r="D5" s="41"/>
      <c r="E5" s="41"/>
      <c r="F5" s="41"/>
      <c r="G5" s="41"/>
    </row>
    <row r="6" spans="1:46" x14ac:dyDescent="0.25">
      <c r="A6" s="572" t="s">
        <v>653</v>
      </c>
      <c r="B6" s="64">
        <f>B5*E7</f>
        <v>41256660364.919998</v>
      </c>
      <c r="C6" s="64">
        <f>C5*E7</f>
        <v>23940000000</v>
      </c>
      <c r="E6" s="438" t="s">
        <v>584</v>
      </c>
      <c r="F6" s="439"/>
      <c r="G6" s="41"/>
    </row>
    <row r="7" spans="1:46" x14ac:dyDescent="0.25">
      <c r="A7" s="572" t="s">
        <v>83</v>
      </c>
      <c r="B7" s="65">
        <v>6.1199999999999997E-2</v>
      </c>
      <c r="C7" s="352">
        <v>4.2999999999999997E-2</v>
      </c>
      <c r="E7" s="48">
        <v>0.7</v>
      </c>
      <c r="F7" s="47" t="s">
        <v>82</v>
      </c>
      <c r="G7" s="41"/>
    </row>
    <row r="8" spans="1:46" x14ac:dyDescent="0.25">
      <c r="A8" s="572" t="s">
        <v>81</v>
      </c>
      <c r="B8" s="66">
        <v>30</v>
      </c>
      <c r="C8" s="66">
        <v>30</v>
      </c>
      <c r="E8" s="46">
        <f>1-E7</f>
        <v>0.30000000000000004</v>
      </c>
      <c r="F8" s="431" t="s">
        <v>581</v>
      </c>
      <c r="G8" s="41"/>
    </row>
    <row r="9" spans="1:46" x14ac:dyDescent="0.25">
      <c r="A9" s="573" t="s">
        <v>655</v>
      </c>
      <c r="B9" s="59">
        <v>0</v>
      </c>
      <c r="C9" s="59">
        <v>0</v>
      </c>
      <c r="D9" s="41"/>
      <c r="E9" s="41"/>
      <c r="F9" s="41"/>
      <c r="G9" s="41"/>
    </row>
    <row r="10" spans="1:46" x14ac:dyDescent="0.25">
      <c r="A10" s="573" t="s">
        <v>656</v>
      </c>
      <c r="B10" s="59">
        <v>30</v>
      </c>
      <c r="C10" s="59">
        <v>30</v>
      </c>
      <c r="D10" s="44"/>
      <c r="E10" s="43"/>
      <c r="F10" s="41"/>
      <c r="G10" s="41"/>
    </row>
    <row r="11" spans="1:46" x14ac:dyDescent="0.25">
      <c r="A11" s="572" t="s">
        <v>657</v>
      </c>
      <c r="B11" s="67">
        <v>0.01</v>
      </c>
      <c r="C11" s="67">
        <v>0.01</v>
      </c>
      <c r="D11" s="42"/>
      <c r="E11" s="42"/>
      <c r="F11" s="41"/>
      <c r="G11" s="41"/>
    </row>
    <row r="12" spans="1:46" x14ac:dyDescent="0.25">
      <c r="A12" s="572" t="s">
        <v>79</v>
      </c>
      <c r="B12" s="68" t="s">
        <v>78</v>
      </c>
      <c r="C12" s="68" t="s">
        <v>78</v>
      </c>
      <c r="D12" s="42"/>
      <c r="E12" s="42"/>
      <c r="F12" s="41"/>
      <c r="G12" s="41"/>
    </row>
    <row r="13" spans="1:46" x14ac:dyDescent="0.25">
      <c r="A13" s="573" t="s">
        <v>77</v>
      </c>
      <c r="B13" s="69">
        <v>0.33</v>
      </c>
      <c r="C13" s="69">
        <v>0.33</v>
      </c>
      <c r="D13" s="42"/>
      <c r="E13" s="42"/>
      <c r="F13" s="41"/>
      <c r="G13" s="41"/>
      <c r="Q13" s="33">
        <f>Q22-P22</f>
        <v>67682569.231214523</v>
      </c>
    </row>
    <row r="14" spans="1:46" x14ac:dyDescent="0.25">
      <c r="B14" s="41"/>
      <c r="C14" s="42"/>
      <c r="D14" s="42"/>
      <c r="E14" s="42"/>
      <c r="F14" s="41"/>
      <c r="G14" s="41"/>
    </row>
    <row r="15" spans="1:46" x14ac:dyDescent="0.25">
      <c r="A15" s="574" t="s">
        <v>122</v>
      </c>
      <c r="B15" s="107">
        <v>1999</v>
      </c>
      <c r="C15" s="107">
        <v>2000</v>
      </c>
      <c r="D15" s="107">
        <v>2001</v>
      </c>
      <c r="E15" s="107">
        <v>2002</v>
      </c>
      <c r="F15" s="107">
        <v>2003</v>
      </c>
      <c r="G15" s="107">
        <v>2004</v>
      </c>
      <c r="H15" s="107">
        <v>2005</v>
      </c>
      <c r="I15" s="107">
        <v>2006</v>
      </c>
      <c r="J15" s="107">
        <v>2007</v>
      </c>
      <c r="K15" s="107">
        <v>2008</v>
      </c>
      <c r="L15" s="107">
        <v>2009</v>
      </c>
      <c r="M15" s="107">
        <v>2010</v>
      </c>
      <c r="N15" s="107">
        <v>2011</v>
      </c>
      <c r="O15" s="107">
        <v>2012</v>
      </c>
      <c r="P15" s="107">
        <v>2013</v>
      </c>
      <c r="Q15" s="107">
        <v>2014</v>
      </c>
      <c r="R15" s="107">
        <v>2015</v>
      </c>
      <c r="S15" s="107">
        <v>2016</v>
      </c>
      <c r="T15" s="107">
        <v>2017</v>
      </c>
      <c r="U15" s="107">
        <v>2018</v>
      </c>
      <c r="V15" s="107">
        <v>2019</v>
      </c>
      <c r="W15" s="107">
        <v>2020</v>
      </c>
      <c r="X15" s="107">
        <v>2021</v>
      </c>
      <c r="Y15" s="107">
        <v>2022</v>
      </c>
      <c r="Z15" s="107">
        <v>2023</v>
      </c>
      <c r="AA15" s="107">
        <v>2024</v>
      </c>
      <c r="AB15" s="107">
        <v>2025</v>
      </c>
      <c r="AC15" s="107">
        <v>2026</v>
      </c>
      <c r="AD15" s="107">
        <v>2027</v>
      </c>
      <c r="AE15" s="107">
        <v>2028</v>
      </c>
      <c r="AF15" s="107">
        <v>2029</v>
      </c>
      <c r="AG15" s="107">
        <v>2030</v>
      </c>
      <c r="AH15" s="107">
        <v>2031</v>
      </c>
      <c r="AI15" s="107">
        <v>2032</v>
      </c>
      <c r="AJ15" s="107">
        <v>2033</v>
      </c>
      <c r="AK15" s="107">
        <v>2034</v>
      </c>
      <c r="AL15" s="107">
        <v>2035</v>
      </c>
      <c r="AM15" s="107">
        <v>2036</v>
      </c>
      <c r="AN15" s="107">
        <v>2037</v>
      </c>
      <c r="AO15" s="107">
        <v>2038</v>
      </c>
      <c r="AP15" s="107">
        <v>2039</v>
      </c>
      <c r="AQ15" s="107">
        <v>2040</v>
      </c>
      <c r="AR15" s="107">
        <v>2041</v>
      </c>
      <c r="AS15" s="107">
        <v>2042</v>
      </c>
      <c r="AT15" s="107">
        <v>2043</v>
      </c>
    </row>
    <row r="16" spans="1:46" x14ac:dyDescent="0.25">
      <c r="A16" s="571" t="s">
        <v>658</v>
      </c>
      <c r="B16" s="41"/>
      <c r="C16" s="41"/>
      <c r="D16" s="41"/>
      <c r="E16" s="41"/>
      <c r="F16" s="41"/>
      <c r="G16" s="41"/>
      <c r="Q16" s="62">
        <v>1</v>
      </c>
      <c r="R16" s="62">
        <v>2</v>
      </c>
      <c r="S16" s="62">
        <v>3</v>
      </c>
      <c r="T16" s="62">
        <v>4</v>
      </c>
      <c r="U16" s="62">
        <v>5</v>
      </c>
      <c r="V16" s="62">
        <v>6</v>
      </c>
      <c r="W16" s="62">
        <v>7</v>
      </c>
      <c r="X16" s="62">
        <v>8</v>
      </c>
      <c r="Y16" s="62">
        <v>9</v>
      </c>
      <c r="Z16" s="62">
        <v>10</v>
      </c>
      <c r="AA16" s="62">
        <v>11</v>
      </c>
      <c r="AB16" s="62">
        <v>12</v>
      </c>
      <c r="AC16" s="62">
        <v>13</v>
      </c>
      <c r="AD16" s="62">
        <v>14</v>
      </c>
      <c r="AE16" s="62">
        <v>15</v>
      </c>
      <c r="AF16" s="62">
        <v>16</v>
      </c>
      <c r="AG16" s="62">
        <v>17</v>
      </c>
      <c r="AH16" s="62">
        <v>18</v>
      </c>
      <c r="AI16" s="62">
        <v>19</v>
      </c>
      <c r="AJ16" s="62">
        <v>20</v>
      </c>
      <c r="AK16" s="62">
        <v>21</v>
      </c>
      <c r="AL16" s="62">
        <v>22</v>
      </c>
      <c r="AM16" s="62">
        <v>23</v>
      </c>
      <c r="AN16" s="62">
        <v>24</v>
      </c>
      <c r="AO16" s="62">
        <v>25</v>
      </c>
      <c r="AP16" s="62">
        <v>26</v>
      </c>
      <c r="AQ16" s="62">
        <v>27</v>
      </c>
      <c r="AR16" s="62">
        <v>28</v>
      </c>
      <c r="AS16" s="62">
        <v>29</v>
      </c>
      <c r="AT16" s="62">
        <v>30</v>
      </c>
    </row>
    <row r="17" spans="1:46" x14ac:dyDescent="0.25">
      <c r="A17" s="575" t="s">
        <v>76</v>
      </c>
      <c r="B17" s="62">
        <v>0</v>
      </c>
      <c r="C17" s="62">
        <v>1</v>
      </c>
      <c r="D17" s="62">
        <v>2</v>
      </c>
      <c r="E17" s="62">
        <v>3</v>
      </c>
      <c r="F17" s="62">
        <v>4</v>
      </c>
      <c r="G17" s="62">
        <v>5</v>
      </c>
      <c r="H17" s="62">
        <v>6</v>
      </c>
      <c r="I17" s="62">
        <v>7</v>
      </c>
      <c r="J17" s="62">
        <v>8</v>
      </c>
      <c r="K17" s="62">
        <v>9</v>
      </c>
      <c r="L17" s="62">
        <v>10</v>
      </c>
      <c r="M17" s="62">
        <v>11</v>
      </c>
      <c r="N17" s="62">
        <v>12</v>
      </c>
      <c r="O17" s="62">
        <v>13</v>
      </c>
      <c r="P17" s="62">
        <v>14</v>
      </c>
      <c r="Q17" s="62">
        <v>15</v>
      </c>
      <c r="R17" s="62">
        <v>16</v>
      </c>
      <c r="S17" s="62">
        <v>17</v>
      </c>
      <c r="T17" s="62">
        <v>18</v>
      </c>
      <c r="U17" s="62">
        <v>19</v>
      </c>
      <c r="V17" s="62">
        <v>20</v>
      </c>
      <c r="W17" s="62">
        <v>21</v>
      </c>
      <c r="X17" s="62">
        <v>22</v>
      </c>
      <c r="Y17" s="62">
        <v>23</v>
      </c>
      <c r="Z17" s="62">
        <v>24</v>
      </c>
      <c r="AA17" s="62">
        <v>25</v>
      </c>
      <c r="AB17" s="62">
        <v>26</v>
      </c>
      <c r="AC17" s="62">
        <v>27</v>
      </c>
      <c r="AD17" s="62">
        <v>28</v>
      </c>
      <c r="AE17" s="62">
        <v>29</v>
      </c>
      <c r="AF17" s="62">
        <v>30</v>
      </c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46" x14ac:dyDescent="0.25">
      <c r="A18" s="573" t="s">
        <v>692</v>
      </c>
      <c r="B18" s="60">
        <v>0</v>
      </c>
      <c r="C18" s="60">
        <f>-PMT(B7,B10,B6)</f>
        <v>3035837465.3039126</v>
      </c>
      <c r="D18" s="60">
        <f>C18</f>
        <v>3035837465.3039126</v>
      </c>
      <c r="E18" s="60">
        <f t="shared" ref="E18:AG19" si="0">D18</f>
        <v>3035837465.3039126</v>
      </c>
      <c r="F18" s="60">
        <f t="shared" si="0"/>
        <v>3035837465.3039126</v>
      </c>
      <c r="G18" s="60">
        <f t="shared" si="0"/>
        <v>3035837465.3039126</v>
      </c>
      <c r="H18" s="60">
        <f t="shared" si="0"/>
        <v>3035837465.3039126</v>
      </c>
      <c r="I18" s="60">
        <f t="shared" si="0"/>
        <v>3035837465.3039126</v>
      </c>
      <c r="J18" s="60">
        <f t="shared" si="0"/>
        <v>3035837465.3039126</v>
      </c>
      <c r="K18" s="60">
        <f t="shared" si="0"/>
        <v>3035837465.3039126</v>
      </c>
      <c r="L18" s="60">
        <f t="shared" si="0"/>
        <v>3035837465.3039126</v>
      </c>
      <c r="M18" s="60">
        <f t="shared" si="0"/>
        <v>3035837465.3039126</v>
      </c>
      <c r="N18" s="60">
        <f t="shared" si="0"/>
        <v>3035837465.3039126</v>
      </c>
      <c r="O18" s="60">
        <f t="shared" si="0"/>
        <v>3035837465.3039126</v>
      </c>
      <c r="P18" s="60">
        <f t="shared" si="0"/>
        <v>3035837465.3039126</v>
      </c>
      <c r="Q18" s="353">
        <f>P18</f>
        <v>3035837465.3039126</v>
      </c>
      <c r="R18" s="60">
        <f t="shared" si="0"/>
        <v>3035837465.3039126</v>
      </c>
      <c r="S18" s="60">
        <f t="shared" si="0"/>
        <v>3035837465.3039126</v>
      </c>
      <c r="T18" s="60">
        <f t="shared" si="0"/>
        <v>3035837465.3039126</v>
      </c>
      <c r="U18" s="60">
        <f t="shared" si="0"/>
        <v>3035837465.3039126</v>
      </c>
      <c r="V18" s="60">
        <f t="shared" si="0"/>
        <v>3035837465.3039126</v>
      </c>
      <c r="W18" s="60">
        <f t="shared" si="0"/>
        <v>3035837465.3039126</v>
      </c>
      <c r="X18" s="60">
        <f t="shared" si="0"/>
        <v>3035837465.3039126</v>
      </c>
      <c r="Y18" s="60">
        <f t="shared" si="0"/>
        <v>3035837465.3039126</v>
      </c>
      <c r="Z18" s="60">
        <f t="shared" si="0"/>
        <v>3035837465.3039126</v>
      </c>
      <c r="AA18" s="60">
        <f t="shared" si="0"/>
        <v>3035837465.3039126</v>
      </c>
      <c r="AB18" s="60">
        <f t="shared" si="0"/>
        <v>3035837465.3039126</v>
      </c>
      <c r="AC18" s="60">
        <f t="shared" si="0"/>
        <v>3035837465.3039126</v>
      </c>
      <c r="AD18" s="60">
        <f t="shared" si="0"/>
        <v>3035837465.3039126</v>
      </c>
      <c r="AE18" s="60">
        <f t="shared" si="0"/>
        <v>3035837465.3039126</v>
      </c>
      <c r="AF18" s="60">
        <f t="shared" si="0"/>
        <v>3035837465.3039126</v>
      </c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</row>
    <row r="19" spans="1:46" x14ac:dyDescent="0.25">
      <c r="A19" s="573" t="s">
        <v>693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353">
        <f>+(-1*PMT(C7,C8,C6))</f>
        <v>1435320563.3691258</v>
      </c>
      <c r="R19" s="60">
        <f t="shared" si="0"/>
        <v>1435320563.3691258</v>
      </c>
      <c r="S19" s="60">
        <f t="shared" si="0"/>
        <v>1435320563.3691258</v>
      </c>
      <c r="T19" s="60">
        <f t="shared" si="0"/>
        <v>1435320563.3691258</v>
      </c>
      <c r="U19" s="60">
        <f t="shared" si="0"/>
        <v>1435320563.3691258</v>
      </c>
      <c r="V19" s="60">
        <f t="shared" si="0"/>
        <v>1435320563.3691258</v>
      </c>
      <c r="W19" s="60">
        <f t="shared" si="0"/>
        <v>1435320563.3691258</v>
      </c>
      <c r="X19" s="60">
        <f t="shared" si="0"/>
        <v>1435320563.3691258</v>
      </c>
      <c r="Y19" s="60">
        <f t="shared" si="0"/>
        <v>1435320563.3691258</v>
      </c>
      <c r="Z19" s="60">
        <f t="shared" si="0"/>
        <v>1435320563.3691258</v>
      </c>
      <c r="AA19" s="60">
        <f t="shared" si="0"/>
        <v>1435320563.3691258</v>
      </c>
      <c r="AB19" s="60">
        <f t="shared" si="0"/>
        <v>1435320563.3691258</v>
      </c>
      <c r="AC19" s="60">
        <f t="shared" si="0"/>
        <v>1435320563.3691258</v>
      </c>
      <c r="AD19" s="60">
        <f t="shared" si="0"/>
        <v>1435320563.3691258</v>
      </c>
      <c r="AE19" s="60">
        <f t="shared" si="0"/>
        <v>1435320563.3691258</v>
      </c>
      <c r="AF19" s="60">
        <f t="shared" si="0"/>
        <v>1435320563.3691258</v>
      </c>
      <c r="AG19" s="60">
        <f t="shared" si="0"/>
        <v>1435320563.3691258</v>
      </c>
      <c r="AH19" s="60">
        <f t="shared" ref="AH19:AT19" si="1">AG19</f>
        <v>1435320563.3691258</v>
      </c>
      <c r="AI19" s="60">
        <f t="shared" si="1"/>
        <v>1435320563.3691258</v>
      </c>
      <c r="AJ19" s="60">
        <f t="shared" si="1"/>
        <v>1435320563.3691258</v>
      </c>
      <c r="AK19" s="60">
        <f t="shared" si="1"/>
        <v>1435320563.3691258</v>
      </c>
      <c r="AL19" s="60">
        <f t="shared" si="1"/>
        <v>1435320563.3691258</v>
      </c>
      <c r="AM19" s="60">
        <f t="shared" si="1"/>
        <v>1435320563.3691258</v>
      </c>
      <c r="AN19" s="60">
        <f t="shared" si="1"/>
        <v>1435320563.3691258</v>
      </c>
      <c r="AO19" s="60">
        <f t="shared" si="1"/>
        <v>1435320563.3691258</v>
      </c>
      <c r="AP19" s="60">
        <f t="shared" si="1"/>
        <v>1435320563.3691258</v>
      </c>
      <c r="AQ19" s="60">
        <f t="shared" si="1"/>
        <v>1435320563.3691258</v>
      </c>
      <c r="AR19" s="60">
        <f t="shared" si="1"/>
        <v>1435320563.3691258</v>
      </c>
      <c r="AS19" s="60">
        <f t="shared" si="1"/>
        <v>1435320563.3691258</v>
      </c>
      <c r="AT19" s="60">
        <f t="shared" si="1"/>
        <v>1435320563.3691258</v>
      </c>
    </row>
    <row r="20" spans="1:46" x14ac:dyDescent="0.25">
      <c r="A20" s="573" t="s">
        <v>694</v>
      </c>
      <c r="B20" s="60">
        <v>0</v>
      </c>
      <c r="C20" s="60">
        <f>B24*B7</f>
        <v>2524907614.3331037</v>
      </c>
      <c r="D20" s="60">
        <f>C24*B7</f>
        <v>2493638707.4536901</v>
      </c>
      <c r="E20" s="60">
        <f>D24*B7</f>
        <v>2460456143.4732566</v>
      </c>
      <c r="F20" s="60">
        <f t="shared" ref="F20:Q20" si="2">E24*$B$7</f>
        <v>2425242806.5772204</v>
      </c>
      <c r="G20" s="60">
        <f t="shared" si="2"/>
        <v>2387874413.4631472</v>
      </c>
      <c r="H20" s="60">
        <f t="shared" si="2"/>
        <v>2348219074.6904922</v>
      </c>
      <c r="I20" s="60">
        <f t="shared" si="2"/>
        <v>2306136829.1849508</v>
      </c>
      <c r="J20" s="60">
        <f t="shared" si="2"/>
        <v>2261479150.2544703</v>
      </c>
      <c r="K20" s="60">
        <f t="shared" si="2"/>
        <v>2214088421.3734441</v>
      </c>
      <c r="L20" s="60">
        <f t="shared" si="2"/>
        <v>2163797379.8848996</v>
      </c>
      <c r="M20" s="60">
        <f t="shared" si="2"/>
        <v>2110428526.6572559</v>
      </c>
      <c r="N20" s="60">
        <f t="shared" si="2"/>
        <v>2053793499.6120806</v>
      </c>
      <c r="O20" s="60">
        <f t="shared" si="2"/>
        <v>1993692408.9117403</v>
      </c>
      <c r="P20" s="60">
        <f t="shared" si="2"/>
        <v>1929913131.4605393</v>
      </c>
      <c r="Q20" s="60">
        <f t="shared" si="2"/>
        <v>1862230562.2293248</v>
      </c>
      <c r="R20" s="60">
        <f t="shared" ref="R20:AF20" si="3">Q24*$B$7</f>
        <v>1790405819.7611601</v>
      </c>
      <c r="S20" s="60">
        <f t="shared" si="3"/>
        <v>1714185403.0539436</v>
      </c>
      <c r="T20" s="60">
        <f t="shared" si="3"/>
        <v>1633300296.8442457</v>
      </c>
      <c r="U20" s="60">
        <f t="shared" si="3"/>
        <v>1547465022.1345139</v>
      </c>
      <c r="V20" s="60">
        <f t="shared" si="3"/>
        <v>1456376628.6125467</v>
      </c>
      <c r="W20" s="60">
        <f t="shared" si="3"/>
        <v>1359713625.4070351</v>
      </c>
      <c r="X20" s="60">
        <f t="shared" si="3"/>
        <v>1257134846.4053464</v>
      </c>
      <c r="Y20" s="60">
        <f t="shared" si="3"/>
        <v>1148278246.1287541</v>
      </c>
      <c r="Z20" s="60">
        <f t="shared" si="3"/>
        <v>1032759621.9152343</v>
      </c>
      <c r="AA20" s="60">
        <f t="shared" si="3"/>
        <v>910171257.89984715</v>
      </c>
      <c r="AB20" s="60">
        <f t="shared" si="3"/>
        <v>780080486.0067184</v>
      </c>
      <c r="AC20" s="60">
        <f t="shared" si="3"/>
        <v>642028158.87373006</v>
      </c>
      <c r="AD20" s="60">
        <f t="shared" si="3"/>
        <v>495527029.32020283</v>
      </c>
      <c r="AE20" s="60">
        <f t="shared" si="3"/>
        <v>340060030.63799977</v>
      </c>
      <c r="AF20" s="60">
        <f t="shared" si="3"/>
        <v>175078451.63644594</v>
      </c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46" x14ac:dyDescent="0.25">
      <c r="A21" s="573" t="s">
        <v>695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353">
        <f>P25*$C$7</f>
        <v>1029419999.9999999</v>
      </c>
      <c r="R21" s="353">
        <f t="shared" ref="R21:AT21" si="4">Q25*$C$7</f>
        <v>1011966275.7751275</v>
      </c>
      <c r="S21" s="353">
        <f t="shared" si="4"/>
        <v>993762041.40858567</v>
      </c>
      <c r="T21" s="353">
        <f t="shared" si="4"/>
        <v>974775024.96428239</v>
      </c>
      <c r="U21" s="353">
        <f t="shared" si="4"/>
        <v>954971566.8128742</v>
      </c>
      <c r="V21" s="353">
        <f t="shared" si="4"/>
        <v>934316559.96095538</v>
      </c>
      <c r="W21" s="353">
        <f t="shared" si="4"/>
        <v>912773387.81440413</v>
      </c>
      <c r="X21" s="353">
        <f t="shared" si="4"/>
        <v>890303859.26555109</v>
      </c>
      <c r="Y21" s="353">
        <f t="shared" si="4"/>
        <v>866868140.98909724</v>
      </c>
      <c r="Z21" s="353">
        <f t="shared" si="4"/>
        <v>842424686.826756</v>
      </c>
      <c r="AA21" s="353">
        <f t="shared" si="4"/>
        <v>816930164.13543415</v>
      </c>
      <c r="AB21" s="353">
        <f t="shared" si="4"/>
        <v>790339376.96838534</v>
      </c>
      <c r="AC21" s="353">
        <f t="shared" si="4"/>
        <v>762605185.95315349</v>
      </c>
      <c r="AD21" s="353">
        <f t="shared" si="4"/>
        <v>733678424.72426677</v>
      </c>
      <c r="AE21" s="353">
        <f t="shared" si="4"/>
        <v>703507812.76253772</v>
      </c>
      <c r="AF21" s="353">
        <f t="shared" si="4"/>
        <v>672039864.48645449</v>
      </c>
      <c r="AG21" s="353">
        <f t="shared" si="4"/>
        <v>639218794.43449962</v>
      </c>
      <c r="AH21" s="353">
        <f t="shared" si="4"/>
        <v>604986418.37031066</v>
      </c>
      <c r="AI21" s="353">
        <f t="shared" si="4"/>
        <v>569282050.13536167</v>
      </c>
      <c r="AJ21" s="353">
        <f t="shared" si="4"/>
        <v>532042394.06630975</v>
      </c>
      <c r="AK21" s="353">
        <f t="shared" si="4"/>
        <v>493201432.78628868</v>
      </c>
      <c r="AL21" s="353">
        <f t="shared" si="4"/>
        <v>452690310.17122662</v>
      </c>
      <c r="AM21" s="353">
        <f t="shared" si="4"/>
        <v>410437209.28371698</v>
      </c>
      <c r="AN21" s="353">
        <f t="shared" si="4"/>
        <v>366367225.05804437</v>
      </c>
      <c r="AO21" s="353">
        <f t="shared" si="4"/>
        <v>320402231.51066792</v>
      </c>
      <c r="AP21" s="353">
        <f t="shared" si="4"/>
        <v>272460743.24075425</v>
      </c>
      <c r="AQ21" s="353">
        <f t="shared" si="4"/>
        <v>222457770.97523424</v>
      </c>
      <c r="AR21" s="353">
        <f t="shared" si="4"/>
        <v>170304670.90229693</v>
      </c>
      <c r="AS21" s="353">
        <f t="shared" si="4"/>
        <v>115908987.52622329</v>
      </c>
      <c r="AT21" s="353">
        <f t="shared" si="4"/>
        <v>59174289.764978476</v>
      </c>
    </row>
    <row r="22" spans="1:46" x14ac:dyDescent="0.25">
      <c r="A22" s="573" t="s">
        <v>696</v>
      </c>
      <c r="B22" s="60">
        <v>0</v>
      </c>
      <c r="C22" s="60">
        <f t="shared" ref="C22:Q22" si="5">C18-C20</f>
        <v>510929850.97080898</v>
      </c>
      <c r="D22" s="60">
        <f t="shared" si="5"/>
        <v>542198757.85022259</v>
      </c>
      <c r="E22" s="60">
        <f t="shared" si="5"/>
        <v>575381321.83065605</v>
      </c>
      <c r="F22" s="60">
        <f t="shared" si="5"/>
        <v>610594658.7266922</v>
      </c>
      <c r="G22" s="60">
        <f t="shared" si="5"/>
        <v>647963051.84076548</v>
      </c>
      <c r="H22" s="60">
        <f t="shared" si="5"/>
        <v>687618390.61342049</v>
      </c>
      <c r="I22" s="60">
        <f t="shared" si="5"/>
        <v>729700636.11896181</v>
      </c>
      <c r="J22" s="60">
        <f t="shared" si="5"/>
        <v>774358315.04944229</v>
      </c>
      <c r="K22" s="60">
        <f t="shared" si="5"/>
        <v>821749043.93046856</v>
      </c>
      <c r="L22" s="60">
        <f t="shared" si="5"/>
        <v>872040085.41901302</v>
      </c>
      <c r="M22" s="60">
        <f t="shared" si="5"/>
        <v>925408938.64665675</v>
      </c>
      <c r="N22" s="60">
        <f t="shared" si="5"/>
        <v>982043965.69183207</v>
      </c>
      <c r="O22" s="60">
        <f t="shared" si="5"/>
        <v>1042145056.3921723</v>
      </c>
      <c r="P22" s="60">
        <f t="shared" si="5"/>
        <v>1105924333.8433733</v>
      </c>
      <c r="Q22" s="353">
        <f t="shared" si="5"/>
        <v>1173606903.0745878</v>
      </c>
      <c r="R22" s="353">
        <f t="shared" ref="R22:AF22" si="6">R18-R20</f>
        <v>1245431645.5427525</v>
      </c>
      <c r="S22" s="353">
        <f t="shared" si="6"/>
        <v>1321652062.249969</v>
      </c>
      <c r="T22" s="353">
        <f t="shared" si="6"/>
        <v>1402537168.459667</v>
      </c>
      <c r="U22" s="353">
        <f t="shared" si="6"/>
        <v>1488372443.1693988</v>
      </c>
      <c r="V22" s="353">
        <f t="shared" si="6"/>
        <v>1579460836.691366</v>
      </c>
      <c r="W22" s="353">
        <f t="shared" si="6"/>
        <v>1676123839.8968775</v>
      </c>
      <c r="X22" s="353">
        <f t="shared" si="6"/>
        <v>1778702618.8985662</v>
      </c>
      <c r="Y22" s="353">
        <f t="shared" si="6"/>
        <v>1887559219.1751585</v>
      </c>
      <c r="Z22" s="353">
        <f t="shared" si="6"/>
        <v>2003077843.3886783</v>
      </c>
      <c r="AA22" s="353">
        <f t="shared" si="6"/>
        <v>2125666207.4040656</v>
      </c>
      <c r="AB22" s="353">
        <f t="shared" si="6"/>
        <v>2255756979.2971945</v>
      </c>
      <c r="AC22" s="353">
        <f t="shared" si="6"/>
        <v>2393809306.4301825</v>
      </c>
      <c r="AD22" s="353">
        <f t="shared" si="6"/>
        <v>2540310435.9837098</v>
      </c>
      <c r="AE22" s="353">
        <f t="shared" si="6"/>
        <v>2695777434.6659126</v>
      </c>
      <c r="AF22" s="353">
        <f t="shared" si="6"/>
        <v>2860759013.6674666</v>
      </c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46" x14ac:dyDescent="0.25">
      <c r="A23" s="573" t="s">
        <v>697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353">
        <f>Q19-Q21</f>
        <v>405900563.36912596</v>
      </c>
      <c r="R23" s="353">
        <f t="shared" ref="R23:AF23" si="7">R19-R21</f>
        <v>423354287.59399831</v>
      </c>
      <c r="S23" s="353">
        <f t="shared" si="7"/>
        <v>441558521.96054018</v>
      </c>
      <c r="T23" s="353">
        <f t="shared" si="7"/>
        <v>460545538.40484345</v>
      </c>
      <c r="U23" s="353">
        <f t="shared" si="7"/>
        <v>480348996.55625165</v>
      </c>
      <c r="V23" s="353">
        <f t="shared" si="7"/>
        <v>501004003.40817046</v>
      </c>
      <c r="W23" s="353">
        <f t="shared" si="7"/>
        <v>522547175.55472171</v>
      </c>
      <c r="X23" s="353">
        <f t="shared" si="7"/>
        <v>545016704.10357475</v>
      </c>
      <c r="Y23" s="353">
        <f t="shared" si="7"/>
        <v>568452422.38002861</v>
      </c>
      <c r="Z23" s="353">
        <f t="shared" si="7"/>
        <v>592895876.54236984</v>
      </c>
      <c r="AA23" s="353">
        <f t="shared" si="7"/>
        <v>618390399.23369169</v>
      </c>
      <c r="AB23" s="353">
        <f t="shared" si="7"/>
        <v>644981186.4007405</v>
      </c>
      <c r="AC23" s="353">
        <f t="shared" si="7"/>
        <v>672715377.41597235</v>
      </c>
      <c r="AD23" s="353">
        <f t="shared" si="7"/>
        <v>701642138.64485908</v>
      </c>
      <c r="AE23" s="353">
        <f t="shared" si="7"/>
        <v>731812750.60658813</v>
      </c>
      <c r="AF23" s="353">
        <f t="shared" si="7"/>
        <v>763280698.88267136</v>
      </c>
      <c r="AG23" s="353">
        <f t="shared" ref="AG23:AT23" si="8">AG19-AG21</f>
        <v>796101768.93462622</v>
      </c>
      <c r="AH23" s="353">
        <f t="shared" si="8"/>
        <v>830334144.99881518</v>
      </c>
      <c r="AI23" s="353">
        <f t="shared" si="8"/>
        <v>866038513.23376417</v>
      </c>
      <c r="AJ23" s="353">
        <f t="shared" si="8"/>
        <v>903278169.30281615</v>
      </c>
      <c r="AK23" s="353">
        <f t="shared" si="8"/>
        <v>942119130.5828371</v>
      </c>
      <c r="AL23" s="353">
        <f t="shared" si="8"/>
        <v>982630253.19789922</v>
      </c>
      <c r="AM23" s="353">
        <f t="shared" si="8"/>
        <v>1024883354.0854089</v>
      </c>
      <c r="AN23" s="353">
        <f t="shared" si="8"/>
        <v>1068953338.3110814</v>
      </c>
      <c r="AO23" s="353">
        <f t="shared" si="8"/>
        <v>1114918331.858458</v>
      </c>
      <c r="AP23" s="353">
        <f t="shared" si="8"/>
        <v>1162859820.1283717</v>
      </c>
      <c r="AQ23" s="353">
        <f t="shared" si="8"/>
        <v>1212862792.3938916</v>
      </c>
      <c r="AR23" s="353">
        <f t="shared" si="8"/>
        <v>1265015892.4668288</v>
      </c>
      <c r="AS23" s="353">
        <f t="shared" si="8"/>
        <v>1319411575.8429027</v>
      </c>
      <c r="AT23" s="353">
        <f t="shared" si="8"/>
        <v>1376146273.6041474</v>
      </c>
    </row>
    <row r="24" spans="1:46" x14ac:dyDescent="0.25">
      <c r="A24" s="573" t="s">
        <v>698</v>
      </c>
      <c r="B24" s="366">
        <f>+B6</f>
        <v>41256660364.919998</v>
      </c>
      <c r="C24" s="366">
        <f>+B24-C22</f>
        <v>40745730513.949188</v>
      </c>
      <c r="D24" s="366">
        <f>+C24-D22</f>
        <v>40203531756.098969</v>
      </c>
      <c r="E24" s="366">
        <f>D24-E22</f>
        <v>39628150434.268311</v>
      </c>
      <c r="F24" s="366">
        <f t="shared" ref="F24:AF24" si="9">+E24-F22</f>
        <v>39017555775.541618</v>
      </c>
      <c r="G24" s="366">
        <f t="shared" si="9"/>
        <v>38369592723.700851</v>
      </c>
      <c r="H24" s="366">
        <f t="shared" si="9"/>
        <v>37681974333.087433</v>
      </c>
      <c r="I24" s="366">
        <f t="shared" si="9"/>
        <v>36952273696.968468</v>
      </c>
      <c r="J24" s="366">
        <f t="shared" si="9"/>
        <v>36177915381.919022</v>
      </c>
      <c r="K24" s="366">
        <f t="shared" si="9"/>
        <v>35356166337.988556</v>
      </c>
      <c r="L24" s="366">
        <f t="shared" si="9"/>
        <v>34484126252.569542</v>
      </c>
      <c r="M24" s="366">
        <f t="shared" si="9"/>
        <v>33558717313.922886</v>
      </c>
      <c r="N24" s="366">
        <f t="shared" si="9"/>
        <v>32576673348.231052</v>
      </c>
      <c r="O24" s="366">
        <f t="shared" si="9"/>
        <v>31534528291.838879</v>
      </c>
      <c r="P24" s="366">
        <f t="shared" si="9"/>
        <v>30428603957.995506</v>
      </c>
      <c r="Q24" s="367">
        <f t="shared" si="9"/>
        <v>29254997054.920918</v>
      </c>
      <c r="R24" s="367">
        <f t="shared" si="9"/>
        <v>28009565409.378166</v>
      </c>
      <c r="S24" s="367">
        <f t="shared" si="9"/>
        <v>26687913347.128197</v>
      </c>
      <c r="T24" s="367">
        <f t="shared" si="9"/>
        <v>25285376178.66853</v>
      </c>
      <c r="U24" s="367">
        <f t="shared" si="9"/>
        <v>23797003735.49913</v>
      </c>
      <c r="V24" s="367">
        <f t="shared" si="9"/>
        <v>22217542898.807766</v>
      </c>
      <c r="W24" s="367">
        <f t="shared" si="9"/>
        <v>20541419058.910889</v>
      </c>
      <c r="X24" s="367">
        <f t="shared" si="9"/>
        <v>18762716440.012321</v>
      </c>
      <c r="Y24" s="367">
        <f t="shared" si="9"/>
        <v>16875157220.837162</v>
      </c>
      <c r="Z24" s="367">
        <f t="shared" si="9"/>
        <v>14872079377.448484</v>
      </c>
      <c r="AA24" s="367">
        <f t="shared" si="9"/>
        <v>12746413170.044418</v>
      </c>
      <c r="AB24" s="367">
        <f t="shared" si="9"/>
        <v>10490656190.747223</v>
      </c>
      <c r="AC24" s="367">
        <f t="shared" si="9"/>
        <v>8096846884.3170404</v>
      </c>
      <c r="AD24" s="367">
        <f t="shared" si="9"/>
        <v>5556536448.3333302</v>
      </c>
      <c r="AE24" s="367">
        <f t="shared" si="9"/>
        <v>2860759013.6674175</v>
      </c>
      <c r="AF24" s="367">
        <f t="shared" si="9"/>
        <v>-4.9114227294921875E-5</v>
      </c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46" x14ac:dyDescent="0.25">
      <c r="A25" s="573" t="s">
        <v>699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353">
        <f>C6</f>
        <v>23940000000</v>
      </c>
      <c r="Q25" s="353">
        <f t="shared" ref="Q25:AT25" si="10">P25-(Q19-Q21)</f>
        <v>23534099436.630875</v>
      </c>
      <c r="R25" s="353">
        <f t="shared" si="10"/>
        <v>23110745149.036877</v>
      </c>
      <c r="S25" s="353">
        <f t="shared" si="10"/>
        <v>22669186627.076336</v>
      </c>
      <c r="T25" s="353">
        <f t="shared" si="10"/>
        <v>22208641088.671494</v>
      </c>
      <c r="U25" s="353">
        <f t="shared" si="10"/>
        <v>21728292092.115242</v>
      </c>
      <c r="V25" s="353">
        <f t="shared" si="10"/>
        <v>21227288088.707073</v>
      </c>
      <c r="W25" s="353">
        <f t="shared" si="10"/>
        <v>20704740913.152351</v>
      </c>
      <c r="X25" s="353">
        <f t="shared" si="10"/>
        <v>20159724209.048775</v>
      </c>
      <c r="Y25" s="353">
        <f t="shared" si="10"/>
        <v>19591271786.668747</v>
      </c>
      <c r="Z25" s="353">
        <f t="shared" si="10"/>
        <v>18998375910.126377</v>
      </c>
      <c r="AA25" s="353">
        <f t="shared" si="10"/>
        <v>18379985510.892685</v>
      </c>
      <c r="AB25" s="353">
        <f t="shared" si="10"/>
        <v>17735004324.491943</v>
      </c>
      <c r="AC25" s="353">
        <f t="shared" si="10"/>
        <v>17062288947.075972</v>
      </c>
      <c r="AD25" s="353">
        <f t="shared" si="10"/>
        <v>16360646808.431112</v>
      </c>
      <c r="AE25" s="353">
        <f t="shared" si="10"/>
        <v>15628834057.824524</v>
      </c>
      <c r="AF25" s="353">
        <f t="shared" si="10"/>
        <v>14865553358.941853</v>
      </c>
      <c r="AG25" s="353">
        <f t="shared" si="10"/>
        <v>14069451590.007227</v>
      </c>
      <c r="AH25" s="353">
        <f t="shared" si="10"/>
        <v>13239117445.008411</v>
      </c>
      <c r="AI25" s="353">
        <f t="shared" si="10"/>
        <v>12373078931.774647</v>
      </c>
      <c r="AJ25" s="353">
        <f t="shared" si="10"/>
        <v>11469800762.47183</v>
      </c>
      <c r="AK25" s="353">
        <f t="shared" si="10"/>
        <v>10527681631.888992</v>
      </c>
      <c r="AL25" s="353">
        <f t="shared" si="10"/>
        <v>9545051378.6910934</v>
      </c>
      <c r="AM25" s="353">
        <f t="shared" si="10"/>
        <v>8520168024.6056843</v>
      </c>
      <c r="AN25" s="353">
        <f t="shared" si="10"/>
        <v>7451214686.2946033</v>
      </c>
      <c r="AO25" s="353">
        <f t="shared" si="10"/>
        <v>6336296354.4361458</v>
      </c>
      <c r="AP25" s="353">
        <f t="shared" si="10"/>
        <v>5173436534.3077736</v>
      </c>
      <c r="AQ25" s="353">
        <f t="shared" si="10"/>
        <v>3960573741.9138823</v>
      </c>
      <c r="AR25" s="353">
        <f t="shared" si="10"/>
        <v>2695557849.4470534</v>
      </c>
      <c r="AS25" s="353">
        <f t="shared" si="10"/>
        <v>1376146273.6041508</v>
      </c>
      <c r="AT25" s="353">
        <f t="shared" si="10"/>
        <v>3.337860107421875E-6</v>
      </c>
    </row>
    <row r="26" spans="1:46" x14ac:dyDescent="0.25">
      <c r="A26" s="573" t="s">
        <v>700</v>
      </c>
      <c r="B26" s="356">
        <f>-B24</f>
        <v>-41256660364.919998</v>
      </c>
      <c r="C26" s="356">
        <f t="shared" ref="C26:AT26" si="11">C18+C19</f>
        <v>3035837465.3039126</v>
      </c>
      <c r="D26" s="356">
        <f t="shared" si="11"/>
        <v>3035837465.3039126</v>
      </c>
      <c r="E26" s="356">
        <f t="shared" si="11"/>
        <v>3035837465.3039126</v>
      </c>
      <c r="F26" s="356">
        <f t="shared" si="11"/>
        <v>3035837465.3039126</v>
      </c>
      <c r="G26" s="356">
        <f t="shared" si="11"/>
        <v>3035837465.3039126</v>
      </c>
      <c r="H26" s="356">
        <f t="shared" si="11"/>
        <v>3035837465.3039126</v>
      </c>
      <c r="I26" s="356">
        <f t="shared" si="11"/>
        <v>3035837465.3039126</v>
      </c>
      <c r="J26" s="356">
        <f t="shared" si="11"/>
        <v>3035837465.3039126</v>
      </c>
      <c r="K26" s="356">
        <f t="shared" si="11"/>
        <v>3035837465.3039126</v>
      </c>
      <c r="L26" s="356">
        <f t="shared" si="11"/>
        <v>3035837465.3039126</v>
      </c>
      <c r="M26" s="356">
        <f t="shared" si="11"/>
        <v>3035837465.3039126</v>
      </c>
      <c r="N26" s="356">
        <f t="shared" si="11"/>
        <v>3035837465.3039126</v>
      </c>
      <c r="O26" s="356">
        <f t="shared" si="11"/>
        <v>3035837465.3039126</v>
      </c>
      <c r="P26" s="356">
        <f t="shared" si="11"/>
        <v>3035837465.3039126</v>
      </c>
      <c r="Q26" s="356">
        <f t="shared" si="11"/>
        <v>4471158028.6730385</v>
      </c>
      <c r="R26" s="356">
        <f t="shared" si="11"/>
        <v>4471158028.6730385</v>
      </c>
      <c r="S26" s="356">
        <f t="shared" si="11"/>
        <v>4471158028.6730385</v>
      </c>
      <c r="T26" s="356">
        <f t="shared" si="11"/>
        <v>4471158028.6730385</v>
      </c>
      <c r="U26" s="356">
        <f t="shared" si="11"/>
        <v>4471158028.6730385</v>
      </c>
      <c r="V26" s="356">
        <f t="shared" si="11"/>
        <v>4471158028.6730385</v>
      </c>
      <c r="W26" s="356">
        <f t="shared" si="11"/>
        <v>4471158028.6730385</v>
      </c>
      <c r="X26" s="356">
        <f t="shared" si="11"/>
        <v>4471158028.6730385</v>
      </c>
      <c r="Y26" s="356">
        <f t="shared" si="11"/>
        <v>4471158028.6730385</v>
      </c>
      <c r="Z26" s="356">
        <f t="shared" si="11"/>
        <v>4471158028.6730385</v>
      </c>
      <c r="AA26" s="356">
        <f t="shared" si="11"/>
        <v>4471158028.6730385</v>
      </c>
      <c r="AB26" s="356">
        <f t="shared" si="11"/>
        <v>4471158028.6730385</v>
      </c>
      <c r="AC26" s="356">
        <f t="shared" si="11"/>
        <v>4471158028.6730385</v>
      </c>
      <c r="AD26" s="356">
        <f t="shared" si="11"/>
        <v>4471158028.6730385</v>
      </c>
      <c r="AE26" s="356">
        <f t="shared" si="11"/>
        <v>4471158028.6730385</v>
      </c>
      <c r="AF26" s="356">
        <f t="shared" si="11"/>
        <v>4471158028.6730385</v>
      </c>
      <c r="AG26" s="356">
        <f t="shared" si="11"/>
        <v>1435320563.3691258</v>
      </c>
      <c r="AH26" s="356">
        <f t="shared" si="11"/>
        <v>1435320563.3691258</v>
      </c>
      <c r="AI26" s="356">
        <f t="shared" si="11"/>
        <v>1435320563.3691258</v>
      </c>
      <c r="AJ26" s="356">
        <f t="shared" si="11"/>
        <v>1435320563.3691258</v>
      </c>
      <c r="AK26" s="356">
        <f t="shared" si="11"/>
        <v>1435320563.3691258</v>
      </c>
      <c r="AL26" s="356">
        <f t="shared" si="11"/>
        <v>1435320563.3691258</v>
      </c>
      <c r="AM26" s="356">
        <f t="shared" si="11"/>
        <v>1435320563.3691258</v>
      </c>
      <c r="AN26" s="356">
        <f t="shared" si="11"/>
        <v>1435320563.3691258</v>
      </c>
      <c r="AO26" s="356">
        <f t="shared" si="11"/>
        <v>1435320563.3691258</v>
      </c>
      <c r="AP26" s="356">
        <f t="shared" si="11"/>
        <v>1435320563.3691258</v>
      </c>
      <c r="AQ26" s="356">
        <f t="shared" si="11"/>
        <v>1435320563.3691258</v>
      </c>
      <c r="AR26" s="356">
        <f t="shared" si="11"/>
        <v>1435320563.3691258</v>
      </c>
      <c r="AS26" s="356">
        <f t="shared" si="11"/>
        <v>1435320563.3691258</v>
      </c>
      <c r="AT26" s="356">
        <f t="shared" si="11"/>
        <v>1435320563.3691258</v>
      </c>
    </row>
    <row r="27" spans="1:46" x14ac:dyDescent="0.25">
      <c r="A27" s="573" t="s">
        <v>661</v>
      </c>
      <c r="B27" s="60">
        <f>B6*B11</f>
        <v>412566603.64919996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>
        <f>P25*C11</f>
        <v>239400000</v>
      </c>
      <c r="Q27" s="353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46" x14ac:dyDescent="0.25">
      <c r="A28" s="573" t="s">
        <v>701</v>
      </c>
      <c r="B28" s="357">
        <v>0</v>
      </c>
      <c r="C28" s="357">
        <f t="shared" ref="C28:AT28" si="12">-(C20+B27)*$B$13</f>
        <v>-969366491.93416023</v>
      </c>
      <c r="D28" s="357">
        <f t="shared" si="12"/>
        <v>-822900773.45971775</v>
      </c>
      <c r="E28" s="357">
        <f t="shared" si="12"/>
        <v>-811950527.34617472</v>
      </c>
      <c r="F28" s="357">
        <f t="shared" si="12"/>
        <v>-800330126.17048275</v>
      </c>
      <c r="G28" s="357">
        <f t="shared" si="12"/>
        <v>-787998556.44283855</v>
      </c>
      <c r="H28" s="357">
        <f t="shared" si="12"/>
        <v>-774912294.64786243</v>
      </c>
      <c r="I28" s="357">
        <f t="shared" si="12"/>
        <v>-761025153.63103378</v>
      </c>
      <c r="J28" s="357">
        <f t="shared" si="12"/>
        <v>-746288119.5839752</v>
      </c>
      <c r="K28" s="357">
        <f t="shared" si="12"/>
        <v>-730649179.0532366</v>
      </c>
      <c r="L28" s="357">
        <f t="shared" si="12"/>
        <v>-714053135.36201692</v>
      </c>
      <c r="M28" s="357">
        <f t="shared" si="12"/>
        <v>-696441413.79689443</v>
      </c>
      <c r="N28" s="357">
        <f t="shared" si="12"/>
        <v>-677751854.87198663</v>
      </c>
      <c r="O28" s="357">
        <f t="shared" si="12"/>
        <v>-657918494.94087434</v>
      </c>
      <c r="P28" s="357">
        <f t="shared" si="12"/>
        <v>-636871333.38197803</v>
      </c>
      <c r="Q28" s="358">
        <f t="shared" si="12"/>
        <v>-693538085.53567719</v>
      </c>
      <c r="R28" s="357">
        <f t="shared" si="12"/>
        <v>-590833920.52118289</v>
      </c>
      <c r="S28" s="357">
        <f t="shared" si="12"/>
        <v>-565681183.00780141</v>
      </c>
      <c r="T28" s="357">
        <f t="shared" si="12"/>
        <v>-538989097.95860112</v>
      </c>
      <c r="U28" s="357">
        <f t="shared" si="12"/>
        <v>-510663457.3043896</v>
      </c>
      <c r="V28" s="357">
        <f t="shared" si="12"/>
        <v>-480604287.4421404</v>
      </c>
      <c r="W28" s="357">
        <f t="shared" si="12"/>
        <v>-448705496.38432163</v>
      </c>
      <c r="X28" s="357">
        <f t="shared" si="12"/>
        <v>-414854499.31376433</v>
      </c>
      <c r="Y28" s="357">
        <f t="shared" si="12"/>
        <v>-378931821.22248888</v>
      </c>
      <c r="Z28" s="357">
        <f t="shared" si="12"/>
        <v>-340810675.23202735</v>
      </c>
      <c r="AA28" s="357">
        <f t="shared" si="12"/>
        <v>-300356515.10694957</v>
      </c>
      <c r="AB28" s="357">
        <f t="shared" si="12"/>
        <v>-257426560.38221708</v>
      </c>
      <c r="AC28" s="357">
        <f t="shared" si="12"/>
        <v>-211869292.42833093</v>
      </c>
      <c r="AD28" s="357">
        <f t="shared" si="12"/>
        <v>-163523919.67566693</v>
      </c>
      <c r="AE28" s="357">
        <f t="shared" si="12"/>
        <v>-112219810.11053993</v>
      </c>
      <c r="AF28" s="357">
        <f t="shared" si="12"/>
        <v>-57775889.040027164</v>
      </c>
      <c r="AG28" s="357">
        <f t="shared" si="12"/>
        <v>0</v>
      </c>
      <c r="AH28" s="357">
        <f t="shared" si="12"/>
        <v>0</v>
      </c>
      <c r="AI28" s="357">
        <f t="shared" si="12"/>
        <v>0</v>
      </c>
      <c r="AJ28" s="357">
        <f t="shared" si="12"/>
        <v>0</v>
      </c>
      <c r="AK28" s="357">
        <f t="shared" si="12"/>
        <v>0</v>
      </c>
      <c r="AL28" s="357">
        <f t="shared" si="12"/>
        <v>0</v>
      </c>
      <c r="AM28" s="357">
        <f t="shared" si="12"/>
        <v>0</v>
      </c>
      <c r="AN28" s="357">
        <f t="shared" si="12"/>
        <v>0</v>
      </c>
      <c r="AO28" s="357">
        <f t="shared" si="12"/>
        <v>0</v>
      </c>
      <c r="AP28" s="357">
        <f t="shared" si="12"/>
        <v>0</v>
      </c>
      <c r="AQ28" s="357">
        <f t="shared" si="12"/>
        <v>0</v>
      </c>
      <c r="AR28" s="357">
        <f t="shared" si="12"/>
        <v>0</v>
      </c>
      <c r="AS28" s="357">
        <f t="shared" si="12"/>
        <v>0</v>
      </c>
      <c r="AT28" s="357">
        <f t="shared" si="12"/>
        <v>0</v>
      </c>
    </row>
    <row r="29" spans="1:46" x14ac:dyDescent="0.25">
      <c r="A29" s="594" t="s">
        <v>663</v>
      </c>
      <c r="B29" s="359">
        <f t="shared" ref="B29:G29" si="13">SUM(B26:B28)</f>
        <v>-40844093761.270798</v>
      </c>
      <c r="C29" s="359">
        <f t="shared" si="13"/>
        <v>2066470973.3697524</v>
      </c>
      <c r="D29" s="359">
        <f t="shared" si="13"/>
        <v>2212936691.8441949</v>
      </c>
      <c r="E29" s="359">
        <f t="shared" si="13"/>
        <v>2223886937.9577379</v>
      </c>
      <c r="F29" s="359">
        <f t="shared" si="13"/>
        <v>2235507339.13343</v>
      </c>
      <c r="G29" s="359">
        <f t="shared" si="13"/>
        <v>2247838908.861074</v>
      </c>
      <c r="H29" s="359">
        <f t="shared" ref="H29:AF29" si="14">SUM(H26:H28)</f>
        <v>2260925170.6560502</v>
      </c>
      <c r="I29" s="359">
        <f t="shared" si="14"/>
        <v>2274812311.6728787</v>
      </c>
      <c r="J29" s="359">
        <f t="shared" si="14"/>
        <v>2289549345.7199373</v>
      </c>
      <c r="K29" s="359">
        <f t="shared" si="14"/>
        <v>2305188286.2506762</v>
      </c>
      <c r="L29" s="359">
        <f t="shared" si="14"/>
        <v>2321784329.9418955</v>
      </c>
      <c r="M29" s="359">
        <f t="shared" si="14"/>
        <v>2339396051.5070181</v>
      </c>
      <c r="N29" s="359">
        <f t="shared" si="14"/>
        <v>2358085610.4319258</v>
      </c>
      <c r="O29" s="359">
        <f t="shared" si="14"/>
        <v>2377918970.3630381</v>
      </c>
      <c r="P29" s="359">
        <f t="shared" si="14"/>
        <v>2638366131.9219346</v>
      </c>
      <c r="Q29" s="360">
        <f t="shared" si="14"/>
        <v>3777619943.1373615</v>
      </c>
      <c r="R29" s="359">
        <f t="shared" si="14"/>
        <v>3880324108.1518555</v>
      </c>
      <c r="S29" s="359">
        <f t="shared" si="14"/>
        <v>3905476845.6652369</v>
      </c>
      <c r="T29" s="359">
        <f t="shared" si="14"/>
        <v>3932168930.7144375</v>
      </c>
      <c r="U29" s="359">
        <f t="shared" si="14"/>
        <v>3960494571.368649</v>
      </c>
      <c r="V29" s="359">
        <f t="shared" si="14"/>
        <v>3990553741.2308979</v>
      </c>
      <c r="W29" s="359">
        <f t="shared" si="14"/>
        <v>4022452532.2887168</v>
      </c>
      <c r="X29" s="359">
        <f t="shared" si="14"/>
        <v>4056303529.3592739</v>
      </c>
      <c r="Y29" s="359">
        <f t="shared" si="14"/>
        <v>4092226207.4505496</v>
      </c>
      <c r="Z29" s="359">
        <f t="shared" si="14"/>
        <v>4130347353.441011</v>
      </c>
      <c r="AA29" s="359">
        <f t="shared" si="14"/>
        <v>4170801513.5660887</v>
      </c>
      <c r="AB29" s="359">
        <f t="shared" si="14"/>
        <v>4213731468.2908216</v>
      </c>
      <c r="AC29" s="359">
        <f t="shared" si="14"/>
        <v>4259288736.2447076</v>
      </c>
      <c r="AD29" s="359">
        <f t="shared" si="14"/>
        <v>4307634108.9973717</v>
      </c>
      <c r="AE29" s="359">
        <f t="shared" si="14"/>
        <v>4358938218.5624981</v>
      </c>
      <c r="AF29" s="359">
        <f t="shared" si="14"/>
        <v>4413382139.6330109</v>
      </c>
      <c r="AG29" s="359">
        <f t="shared" ref="AG29:AT29" si="15">SUM(AG26:AG28)</f>
        <v>1435320563.3691258</v>
      </c>
      <c r="AH29" s="359">
        <f t="shared" si="15"/>
        <v>1435320563.3691258</v>
      </c>
      <c r="AI29" s="359">
        <f t="shared" si="15"/>
        <v>1435320563.3691258</v>
      </c>
      <c r="AJ29" s="359">
        <f t="shared" si="15"/>
        <v>1435320563.3691258</v>
      </c>
      <c r="AK29" s="359">
        <f t="shared" si="15"/>
        <v>1435320563.3691258</v>
      </c>
      <c r="AL29" s="359">
        <f t="shared" si="15"/>
        <v>1435320563.3691258</v>
      </c>
      <c r="AM29" s="359">
        <f t="shared" si="15"/>
        <v>1435320563.3691258</v>
      </c>
      <c r="AN29" s="359">
        <f t="shared" si="15"/>
        <v>1435320563.3691258</v>
      </c>
      <c r="AO29" s="359">
        <f t="shared" si="15"/>
        <v>1435320563.3691258</v>
      </c>
      <c r="AP29" s="359">
        <f t="shared" si="15"/>
        <v>1435320563.3691258</v>
      </c>
      <c r="AQ29" s="359">
        <f t="shared" si="15"/>
        <v>1435320563.3691258</v>
      </c>
      <c r="AR29" s="359">
        <f t="shared" si="15"/>
        <v>1435320563.3691258</v>
      </c>
      <c r="AS29" s="359">
        <f t="shared" si="15"/>
        <v>1435320563.3691258</v>
      </c>
      <c r="AT29" s="359">
        <f t="shared" si="15"/>
        <v>1435320563.3691258</v>
      </c>
    </row>
    <row r="30" spans="1:46" ht="15.75" x14ac:dyDescent="0.3">
      <c r="B30" s="40"/>
      <c r="C30" s="40"/>
      <c r="D30" s="40"/>
      <c r="E30" s="40"/>
      <c r="F30" s="40"/>
      <c r="G30" s="40"/>
      <c r="H30" s="36"/>
      <c r="I30" s="36"/>
      <c r="J30" s="36"/>
    </row>
    <row r="31" spans="1:46" ht="15.75" x14ac:dyDescent="0.3">
      <c r="A31" s="571" t="s">
        <v>702</v>
      </c>
      <c r="B31" s="50">
        <f>IRR(B29:AF29)</f>
        <v>5.682958966870566E-2</v>
      </c>
      <c r="C31" s="40" t="s">
        <v>73</v>
      </c>
      <c r="D31" s="40"/>
      <c r="E31" s="40"/>
      <c r="F31" s="40"/>
      <c r="G31" s="40"/>
      <c r="H31" s="36"/>
      <c r="I31" s="36"/>
      <c r="J31" s="36"/>
    </row>
    <row r="32" spans="1:46" ht="15.75" x14ac:dyDescent="0.3">
      <c r="B32" s="41"/>
      <c r="C32" s="41"/>
      <c r="D32" s="40"/>
      <c r="E32" s="40"/>
      <c r="F32" s="40"/>
      <c r="G32" s="40"/>
      <c r="H32" s="35"/>
      <c r="I32" s="35"/>
      <c r="J32" s="35"/>
    </row>
    <row r="33" spans="1:46" ht="15.75" x14ac:dyDescent="0.3">
      <c r="A33" s="571"/>
      <c r="B33" s="40"/>
      <c r="C33" s="40"/>
      <c r="D33" s="40"/>
      <c r="E33" s="40"/>
      <c r="F33" s="40"/>
      <c r="G33" s="40"/>
      <c r="H33" s="35"/>
      <c r="I33" s="35"/>
      <c r="J33" s="35"/>
    </row>
    <row r="34" spans="1:46" ht="15.75" x14ac:dyDescent="0.3">
      <c r="A34" s="571" t="s">
        <v>665</v>
      </c>
      <c r="B34" s="40"/>
      <c r="C34" s="40"/>
      <c r="D34" s="40"/>
      <c r="E34" s="40"/>
      <c r="F34" s="40"/>
      <c r="G34" s="40"/>
      <c r="H34" s="35"/>
      <c r="I34" s="35"/>
      <c r="J34" s="35"/>
    </row>
    <row r="35" spans="1:46" ht="15.75" thickBot="1" x14ac:dyDescent="0.3">
      <c r="B35" s="41"/>
      <c r="C35" s="41"/>
      <c r="D35" s="41"/>
      <c r="E35" s="41"/>
      <c r="F35" s="41"/>
      <c r="G35" s="41"/>
    </row>
    <row r="36" spans="1:46" x14ac:dyDescent="0.25">
      <c r="A36" s="595" t="s">
        <v>72</v>
      </c>
      <c r="B36" s="70">
        <v>0</v>
      </c>
      <c r="C36" s="70">
        <v>1</v>
      </c>
      <c r="D36" s="70">
        <v>2</v>
      </c>
      <c r="E36" s="70">
        <v>3</v>
      </c>
      <c r="F36" s="70">
        <v>4</v>
      </c>
      <c r="G36" s="71">
        <v>5</v>
      </c>
      <c r="H36" s="70">
        <v>6</v>
      </c>
      <c r="I36" s="71">
        <v>7</v>
      </c>
      <c r="J36" s="70">
        <v>8</v>
      </c>
      <c r="K36" s="71">
        <v>9</v>
      </c>
      <c r="L36" s="70">
        <v>10</v>
      </c>
      <c r="M36" s="71">
        <v>11</v>
      </c>
      <c r="N36" s="70">
        <v>12</v>
      </c>
      <c r="O36" s="71">
        <v>13</v>
      </c>
      <c r="P36" s="70">
        <v>14</v>
      </c>
      <c r="Q36" s="71">
        <v>15</v>
      </c>
      <c r="R36" s="70">
        <v>16</v>
      </c>
      <c r="S36" s="71">
        <v>17</v>
      </c>
      <c r="T36" s="70">
        <v>18</v>
      </c>
      <c r="U36" s="71">
        <v>19</v>
      </c>
      <c r="V36" s="70">
        <v>20</v>
      </c>
      <c r="W36" s="71">
        <v>21</v>
      </c>
      <c r="X36" s="70">
        <v>22</v>
      </c>
      <c r="Y36" s="71">
        <v>23</v>
      </c>
      <c r="Z36" s="70">
        <v>24</v>
      </c>
      <c r="AA36" s="71">
        <v>25</v>
      </c>
      <c r="AB36" s="70">
        <v>26</v>
      </c>
      <c r="AC36" s="71">
        <v>27</v>
      </c>
      <c r="AD36" s="70">
        <v>28</v>
      </c>
      <c r="AE36" s="71">
        <v>29</v>
      </c>
      <c r="AF36" s="70">
        <v>30</v>
      </c>
      <c r="AG36" s="70">
        <v>31</v>
      </c>
      <c r="AH36" s="71">
        <v>32</v>
      </c>
      <c r="AI36" s="70">
        <v>33</v>
      </c>
      <c r="AJ36" s="70">
        <v>34</v>
      </c>
      <c r="AK36" s="71">
        <v>35</v>
      </c>
      <c r="AL36" s="70">
        <v>36</v>
      </c>
      <c r="AM36" s="70">
        <v>37</v>
      </c>
      <c r="AN36" s="71">
        <v>38</v>
      </c>
      <c r="AO36" s="70">
        <v>39</v>
      </c>
      <c r="AP36" s="70">
        <v>40</v>
      </c>
      <c r="AQ36" s="71">
        <v>41</v>
      </c>
      <c r="AR36" s="70">
        <v>42</v>
      </c>
      <c r="AS36" s="70">
        <v>43</v>
      </c>
      <c r="AT36" s="71">
        <v>44</v>
      </c>
    </row>
    <row r="37" spans="1:46" ht="15.75" thickBot="1" x14ac:dyDescent="0.3">
      <c r="A37" s="578" t="s">
        <v>666</v>
      </c>
      <c r="B37" s="72">
        <f t="shared" ref="B37:AF37" si="16">-B29</f>
        <v>40844093761.270798</v>
      </c>
      <c r="C37" s="72">
        <f t="shared" si="16"/>
        <v>-2066470973.3697524</v>
      </c>
      <c r="D37" s="72">
        <f t="shared" si="16"/>
        <v>-2212936691.8441949</v>
      </c>
      <c r="E37" s="72">
        <f t="shared" si="16"/>
        <v>-2223886937.9577379</v>
      </c>
      <c r="F37" s="72">
        <f t="shared" si="16"/>
        <v>-2235507339.13343</v>
      </c>
      <c r="G37" s="73">
        <f t="shared" si="16"/>
        <v>-2247838908.861074</v>
      </c>
      <c r="H37" s="73">
        <f t="shared" si="16"/>
        <v>-2260925170.6560502</v>
      </c>
      <c r="I37" s="73">
        <f t="shared" si="16"/>
        <v>-2274812311.6728787</v>
      </c>
      <c r="J37" s="73">
        <f t="shared" si="16"/>
        <v>-2289549345.7199373</v>
      </c>
      <c r="K37" s="73">
        <f t="shared" si="16"/>
        <v>-2305188286.2506762</v>
      </c>
      <c r="L37" s="73">
        <f t="shared" si="16"/>
        <v>-2321784329.9418955</v>
      </c>
      <c r="M37" s="73">
        <f t="shared" si="16"/>
        <v>-2339396051.5070181</v>
      </c>
      <c r="N37" s="73">
        <f t="shared" si="16"/>
        <v>-2358085610.4319258</v>
      </c>
      <c r="O37" s="73">
        <f t="shared" si="16"/>
        <v>-2377918970.3630381</v>
      </c>
      <c r="P37" s="73">
        <f t="shared" si="16"/>
        <v>-2638366131.9219346</v>
      </c>
      <c r="Q37" s="73">
        <f t="shared" si="16"/>
        <v>-3777619943.1373615</v>
      </c>
      <c r="R37" s="73">
        <f t="shared" si="16"/>
        <v>-3880324108.1518555</v>
      </c>
      <c r="S37" s="73">
        <f t="shared" si="16"/>
        <v>-3905476845.6652369</v>
      </c>
      <c r="T37" s="73">
        <f t="shared" si="16"/>
        <v>-3932168930.7144375</v>
      </c>
      <c r="U37" s="73">
        <f t="shared" si="16"/>
        <v>-3960494571.368649</v>
      </c>
      <c r="V37" s="73">
        <f t="shared" si="16"/>
        <v>-3990553741.2308979</v>
      </c>
      <c r="W37" s="73">
        <f t="shared" si="16"/>
        <v>-4022452532.2887168</v>
      </c>
      <c r="X37" s="73">
        <f t="shared" si="16"/>
        <v>-4056303529.3592739</v>
      </c>
      <c r="Y37" s="73">
        <f t="shared" si="16"/>
        <v>-4092226207.4505496</v>
      </c>
      <c r="Z37" s="73">
        <f t="shared" si="16"/>
        <v>-4130347353.441011</v>
      </c>
      <c r="AA37" s="73">
        <f t="shared" si="16"/>
        <v>-4170801513.5660887</v>
      </c>
      <c r="AB37" s="73">
        <f t="shared" si="16"/>
        <v>-4213731468.2908216</v>
      </c>
      <c r="AC37" s="73">
        <f t="shared" si="16"/>
        <v>-4259288736.2447076</v>
      </c>
      <c r="AD37" s="73">
        <f t="shared" si="16"/>
        <v>-4307634108.9973717</v>
      </c>
      <c r="AE37" s="73">
        <f t="shared" si="16"/>
        <v>-4358938218.5624981</v>
      </c>
      <c r="AF37" s="73">
        <f t="shared" si="16"/>
        <v>-4413382139.6330109</v>
      </c>
      <c r="AG37" s="73">
        <f t="shared" ref="AG37:AT37" si="17">-AG29</f>
        <v>-1435320563.3691258</v>
      </c>
      <c r="AH37" s="73">
        <f t="shared" si="17"/>
        <v>-1435320563.3691258</v>
      </c>
      <c r="AI37" s="73">
        <f t="shared" si="17"/>
        <v>-1435320563.3691258</v>
      </c>
      <c r="AJ37" s="73">
        <f t="shared" si="17"/>
        <v>-1435320563.3691258</v>
      </c>
      <c r="AK37" s="73">
        <f t="shared" si="17"/>
        <v>-1435320563.3691258</v>
      </c>
      <c r="AL37" s="73">
        <f t="shared" si="17"/>
        <v>-1435320563.3691258</v>
      </c>
      <c r="AM37" s="73">
        <f t="shared" si="17"/>
        <v>-1435320563.3691258</v>
      </c>
      <c r="AN37" s="73">
        <f t="shared" si="17"/>
        <v>-1435320563.3691258</v>
      </c>
      <c r="AO37" s="73">
        <f t="shared" si="17"/>
        <v>-1435320563.3691258</v>
      </c>
      <c r="AP37" s="73">
        <f t="shared" si="17"/>
        <v>-1435320563.3691258</v>
      </c>
      <c r="AQ37" s="73">
        <f t="shared" si="17"/>
        <v>-1435320563.3691258</v>
      </c>
      <c r="AR37" s="73">
        <f t="shared" si="17"/>
        <v>-1435320563.3691258</v>
      </c>
      <c r="AS37" s="73">
        <f t="shared" si="17"/>
        <v>-1435320563.3691258</v>
      </c>
      <c r="AT37" s="73">
        <f t="shared" si="17"/>
        <v>-1435320563.3691258</v>
      </c>
    </row>
    <row r="38" spans="1:46" ht="15.75" x14ac:dyDescent="0.3">
      <c r="A38" s="579"/>
      <c r="B38" s="36"/>
      <c r="C38" s="36"/>
      <c r="D38" s="36"/>
      <c r="E38" s="36"/>
      <c r="F38" s="36"/>
      <c r="G38" s="36"/>
      <c r="I38" s="36"/>
    </row>
    <row r="39" spans="1:46" ht="14.25" customHeight="1" x14ac:dyDescent="0.25"/>
    <row r="40" spans="1:46" ht="15.75" x14ac:dyDescent="0.3">
      <c r="A40" s="579"/>
      <c r="B40" s="35"/>
      <c r="C40" s="35"/>
      <c r="D40" s="35"/>
    </row>
    <row r="41" spans="1:46" ht="15.75" x14ac:dyDescent="0.3">
      <c r="A41" s="580"/>
      <c r="B41" s="35"/>
      <c r="C41" s="35"/>
      <c r="D41" s="35"/>
    </row>
    <row r="42" spans="1:46" ht="15.75" x14ac:dyDescent="0.3">
      <c r="A42" s="579"/>
      <c r="B42" s="39"/>
      <c r="C42" s="39"/>
      <c r="D42" s="39"/>
    </row>
    <row r="43" spans="1:46" ht="15.75" x14ac:dyDescent="0.3">
      <c r="A43" s="580"/>
      <c r="B43" s="35"/>
      <c r="C43" s="38"/>
      <c r="D43" s="37"/>
    </row>
    <row r="44" spans="1:46" ht="15.75" x14ac:dyDescent="0.3">
      <c r="A44" s="580"/>
      <c r="B44" s="35"/>
      <c r="C44" s="38"/>
      <c r="D44" s="37"/>
    </row>
    <row r="45" spans="1:46" ht="15.75" x14ac:dyDescent="0.3">
      <c r="A45" s="579"/>
      <c r="B45" s="36"/>
      <c r="C45" s="35"/>
      <c r="D45" s="34"/>
    </row>
    <row r="46" spans="1:46" ht="15.75" x14ac:dyDescent="0.3">
      <c r="A46" s="580"/>
      <c r="B46" s="35"/>
      <c r="C46" s="35"/>
      <c r="D46" s="35"/>
    </row>
    <row r="47" spans="1:46" ht="15.75" x14ac:dyDescent="0.3">
      <c r="A47" s="580"/>
      <c r="B47" s="35"/>
      <c r="C47" s="37"/>
      <c r="D47" s="37"/>
    </row>
    <row r="48" spans="1:46" ht="15.75" x14ac:dyDescent="0.3">
      <c r="A48" s="580"/>
      <c r="B48" s="35"/>
      <c r="C48" s="37"/>
      <c r="D48" s="37"/>
    </row>
    <row r="49" spans="1:4" ht="15.75" x14ac:dyDescent="0.3">
      <c r="A49" s="579"/>
      <c r="B49" s="36"/>
      <c r="C49" s="35"/>
      <c r="D49" s="34"/>
    </row>
  </sheetData>
  <mergeCells count="1">
    <mergeCell ref="E6:F6"/>
  </mergeCells>
  <pageMargins left="0.7" right="0.7" top="0.75" bottom="0.75" header="0.3" footer="0.3"/>
  <pageSetup scale="68" fitToWidth="4" orientation="landscape" horizontalDpi="300" verticalDpi="300" r:id="rId1"/>
  <headerFooter>
    <oddHeader>&amp;C&amp;F-&amp;A-&amp;P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16</vt:i4>
      </vt:variant>
    </vt:vector>
  </HeadingPairs>
  <TitlesOfParts>
    <vt:vector size="42" baseType="lpstr">
      <vt:lpstr>CAPEX UC (Original)</vt:lpstr>
      <vt:lpstr>TRM</vt:lpstr>
      <vt:lpstr>IPP</vt:lpstr>
      <vt:lpstr>VRN</vt:lpstr>
      <vt:lpstr>ACTUALMENTE</vt:lpstr>
      <vt:lpstr>Financiacion ACTUALMENTE</vt:lpstr>
      <vt:lpstr>Dep y Dif ACTUALMENTE</vt:lpstr>
      <vt:lpstr>REEMPLAZO</vt:lpstr>
      <vt:lpstr>Financiacion REEMPLAZO</vt:lpstr>
      <vt:lpstr>Dep y Dif REEMPLAZO</vt:lpstr>
      <vt:lpstr>REFURBISHMENT</vt:lpstr>
      <vt:lpstr>_@RISKFitInformation</vt:lpstr>
      <vt:lpstr>Financiacion REFURBISHMENT</vt:lpstr>
      <vt:lpstr>Dep y Dif REFURBISHMENT</vt:lpstr>
      <vt:lpstr>F de CP</vt:lpstr>
      <vt:lpstr>Ingresos&amp;Compensaciones</vt:lpstr>
      <vt:lpstr>CAPEX UC</vt:lpstr>
      <vt:lpstr>Refurbishment SVC</vt:lpstr>
      <vt:lpstr>Resumen de escenario 4</vt:lpstr>
      <vt:lpstr>Abreviaturas</vt:lpstr>
      <vt:lpstr>Hoja1</vt:lpstr>
      <vt:lpstr>Hoja2</vt:lpstr>
      <vt:lpstr>Hoja3</vt:lpstr>
      <vt:lpstr>Hoja4</vt:lpstr>
      <vt:lpstr>Hoja5</vt:lpstr>
      <vt:lpstr>Hoja6</vt:lpstr>
      <vt:lpstr>ACTUALMENTE!Área_de_impresión</vt:lpstr>
      <vt:lpstr>'CAPEX UC'!Área_de_impresión</vt:lpstr>
      <vt:lpstr>'CAPEX UC (Original)'!Área_de_impresión</vt:lpstr>
      <vt:lpstr>'Dep y Dif REEMPLAZO'!Área_de_impresión</vt:lpstr>
      <vt:lpstr>'Dep y Dif REFURBISHMENT'!Área_de_impresión</vt:lpstr>
      <vt:lpstr>'F de CP'!Área_de_impresión</vt:lpstr>
      <vt:lpstr>'Financiacion ACTUALMENTE'!Área_de_impresión</vt:lpstr>
      <vt:lpstr>'Financiacion REEMPLAZO'!Área_de_impresión</vt:lpstr>
      <vt:lpstr>'Financiacion REFURBISHMENT'!Área_de_impresión</vt:lpstr>
      <vt:lpstr>'Ingresos&amp;Compensaciones'!Área_de_impresión</vt:lpstr>
      <vt:lpstr>IPP!Área_de_impresión</vt:lpstr>
      <vt:lpstr>REEMPLAZO!Área_de_impresión</vt:lpstr>
      <vt:lpstr>'Refurbishment SVC'!Área_de_impresión</vt:lpstr>
      <vt:lpstr>'Resumen de escenario 4'!Área_de_impresión</vt:lpstr>
      <vt:lpstr>TRM!Área_de_impresión</vt:lpstr>
      <vt:lpstr>'Refurbishment SVC'!Títulos_a_imprimir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hdpelaez</dc:creator>
  <cp:lastModifiedBy>ÁLVARO PÉREZ GELVES</cp:lastModifiedBy>
  <cp:lastPrinted>2013-09-20T23:00:06Z</cp:lastPrinted>
  <dcterms:created xsi:type="dcterms:W3CDTF">2011-10-02T19:34:53Z</dcterms:created>
  <dcterms:modified xsi:type="dcterms:W3CDTF">2013-10-25T20:07:03Z</dcterms:modified>
</cp:coreProperties>
</file>