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19440" windowHeight="7935" activeTab="3"/>
  </bookViews>
  <sheets>
    <sheet name="Supuestos" sheetId="1" r:id="rId1"/>
    <sheet name="Depreciación PPE" sheetId="2" r:id="rId2"/>
    <sheet name="WACC" sheetId="5" r:id="rId3"/>
    <sheet name="FCL" sheetId="4" r:id="rId4"/>
  </sheets>
  <externalReferences>
    <externalReference r:id="rId5"/>
  </externalReferences>
  <calcPr calcId="124519" iterate="1"/>
</workbook>
</file>

<file path=xl/calcChain.xml><?xml version="1.0" encoding="utf-8"?>
<calcChain xmlns="http://schemas.openxmlformats.org/spreadsheetml/2006/main">
  <c r="M5" i="4"/>
  <c r="L5"/>
  <c r="K5"/>
  <c r="J5"/>
  <c r="I5"/>
  <c r="H5"/>
  <c r="G5"/>
  <c r="F5"/>
  <c r="E5"/>
  <c r="D5"/>
  <c r="C5"/>
  <c r="M4"/>
  <c r="L4"/>
  <c r="K4"/>
  <c r="J4"/>
  <c r="I4"/>
  <c r="H4"/>
  <c r="G4"/>
  <c r="F4"/>
  <c r="E4"/>
  <c r="D4"/>
  <c r="C4"/>
  <c r="M3"/>
  <c r="L3"/>
  <c r="K3"/>
  <c r="J3"/>
  <c r="I3"/>
  <c r="H3"/>
  <c r="G3"/>
  <c r="F3"/>
  <c r="E3"/>
  <c r="D3"/>
  <c r="C3"/>
  <c r="I9" i="1"/>
  <c r="J9" s="1"/>
  <c r="K9" s="1"/>
  <c r="L9" s="1"/>
  <c r="M9" s="1"/>
  <c r="N9" s="1"/>
  <c r="O9" s="1"/>
  <c r="P9" s="1"/>
  <c r="H9"/>
  <c r="G9"/>
  <c r="F9"/>
  <c r="E17" i="5"/>
  <c r="F32" i="1"/>
  <c r="F31"/>
  <c r="F30"/>
  <c r="F29"/>
  <c r="F28"/>
  <c r="C32" i="4"/>
  <c r="C31"/>
  <c r="C30"/>
  <c r="C29"/>
  <c r="C27"/>
  <c r="C26"/>
  <c r="C25"/>
  <c r="M16"/>
  <c r="O52" i="2"/>
  <c r="O51"/>
  <c r="O53" s="1"/>
  <c r="O54" s="1"/>
  <c r="N52"/>
  <c r="N51"/>
  <c r="N53" s="1"/>
  <c r="N54" s="1"/>
  <c r="M52"/>
  <c r="M51"/>
  <c r="M53" s="1"/>
  <c r="M54" s="1"/>
  <c r="L52"/>
  <c r="L51"/>
  <c r="L53" s="1"/>
  <c r="L54" s="1"/>
  <c r="K52"/>
  <c r="K51"/>
  <c r="K53" s="1"/>
  <c r="K54" s="1"/>
  <c r="J52"/>
  <c r="J51"/>
  <c r="J53" s="1"/>
  <c r="J54" s="1"/>
  <c r="I52"/>
  <c r="I51"/>
  <c r="I53" s="1"/>
  <c r="I54" s="1"/>
  <c r="H52"/>
  <c r="H51"/>
  <c r="H53" s="1"/>
  <c r="H54" s="1"/>
  <c r="E53"/>
  <c r="O44"/>
  <c r="N44"/>
  <c r="M44"/>
  <c r="L44"/>
  <c r="K44"/>
  <c r="J44"/>
  <c r="I44"/>
  <c r="H44"/>
  <c r="E46"/>
  <c r="O38"/>
  <c r="O37"/>
  <c r="O39" s="1"/>
  <c r="O40" s="1"/>
  <c r="N38"/>
  <c r="N37"/>
  <c r="N39" s="1"/>
  <c r="N40" s="1"/>
  <c r="M38"/>
  <c r="M37"/>
  <c r="M39" s="1"/>
  <c r="M40" s="1"/>
  <c r="L38"/>
  <c r="L37"/>
  <c r="L39" s="1"/>
  <c r="L40" s="1"/>
  <c r="K38"/>
  <c r="K37"/>
  <c r="K39" s="1"/>
  <c r="J38"/>
  <c r="J37"/>
  <c r="J39" s="1"/>
  <c r="J40" s="1"/>
  <c r="I38"/>
  <c r="I37"/>
  <c r="I39" s="1"/>
  <c r="I40" s="1"/>
  <c r="E39"/>
  <c r="O32"/>
  <c r="N32"/>
  <c r="M32"/>
  <c r="L32"/>
  <c r="K32"/>
  <c r="J32"/>
  <c r="I32"/>
  <c r="H32"/>
  <c r="G32"/>
  <c r="F32"/>
  <c r="E32"/>
  <c r="O31"/>
  <c r="O30"/>
  <c r="N31"/>
  <c r="N30"/>
  <c r="M31"/>
  <c r="M30"/>
  <c r="L31"/>
  <c r="L30"/>
  <c r="F8" i="1"/>
  <c r="G8" s="1"/>
  <c r="F7"/>
  <c r="G7" s="1"/>
  <c r="H7" s="1"/>
  <c r="I7" s="1"/>
  <c r="J7" s="1"/>
  <c r="K7" s="1"/>
  <c r="L7" s="1"/>
  <c r="M7" s="1"/>
  <c r="N7" s="1"/>
  <c r="O7" s="1"/>
  <c r="P7" s="1"/>
  <c r="E13" i="5"/>
  <c r="E21"/>
  <c r="E19"/>
  <c r="E20" s="1"/>
  <c r="E18"/>
  <c r="F10" i="1"/>
  <c r="G10" s="1"/>
  <c r="E16" i="2"/>
  <c r="C10" i="4" s="1"/>
  <c r="C23" i="2"/>
  <c r="C75"/>
  <c r="C71"/>
  <c r="C70"/>
  <c r="D66"/>
  <c r="C66"/>
  <c r="C67" s="1"/>
  <c r="E58"/>
  <c r="D53"/>
  <c r="C53"/>
  <c r="G52"/>
  <c r="F52"/>
  <c r="E51"/>
  <c r="D51"/>
  <c r="C51"/>
  <c r="A49"/>
  <c r="D46"/>
  <c r="C46"/>
  <c r="E44"/>
  <c r="D44"/>
  <c r="C44"/>
  <c r="A42"/>
  <c r="D39"/>
  <c r="C39"/>
  <c r="E37"/>
  <c r="D37"/>
  <c r="C38" s="1"/>
  <c r="C37"/>
  <c r="A35"/>
  <c r="D32"/>
  <c r="C32"/>
  <c r="K31"/>
  <c r="J31"/>
  <c r="I31"/>
  <c r="H31"/>
  <c r="H38" s="1"/>
  <c r="G31"/>
  <c r="F31"/>
  <c r="F38" s="1"/>
  <c r="E31"/>
  <c r="E30"/>
  <c r="D31" s="1"/>
  <c r="D30"/>
  <c r="C30"/>
  <c r="A28"/>
  <c r="D25"/>
  <c r="C25"/>
  <c r="E23"/>
  <c r="D24" s="1"/>
  <c r="D23"/>
  <c r="A21"/>
  <c r="F17"/>
  <c r="G17" s="1"/>
  <c r="H17" s="1"/>
  <c r="I17" s="1"/>
  <c r="J17" s="1"/>
  <c r="K17" s="1"/>
  <c r="L17" s="1"/>
  <c r="M17" s="1"/>
  <c r="N17" s="1"/>
  <c r="O17" s="1"/>
  <c r="O16" s="1"/>
  <c r="O59" s="1"/>
  <c r="O67" s="1"/>
  <c r="F11"/>
  <c r="F2" s="1"/>
  <c r="D11"/>
  <c r="E3" s="1"/>
  <c r="C11"/>
  <c r="B11"/>
  <c r="F9"/>
  <c r="E8"/>
  <c r="F7"/>
  <c r="E7"/>
  <c r="F6"/>
  <c r="E6"/>
  <c r="F5"/>
  <c r="E5"/>
  <c r="F4"/>
  <c r="E4"/>
  <c r="E2"/>
  <c r="E32" i="1"/>
  <c r="E39" s="1"/>
  <c r="D32"/>
  <c r="C32"/>
  <c r="E31"/>
  <c r="D31"/>
  <c r="C31"/>
  <c r="E30"/>
  <c r="E37" s="1"/>
  <c r="D30"/>
  <c r="C30"/>
  <c r="E29"/>
  <c r="D29"/>
  <c r="C29"/>
  <c r="E28"/>
  <c r="E35" s="1"/>
  <c r="D28"/>
  <c r="C28"/>
  <c r="C33" i="4" l="1"/>
  <c r="E27" i="5"/>
  <c r="C17" i="4" s="1"/>
  <c r="D17" s="1"/>
  <c r="E17" s="1"/>
  <c r="F17" s="1"/>
  <c r="G17" s="1"/>
  <c r="H17" s="1"/>
  <c r="I17" s="1"/>
  <c r="J17" s="1"/>
  <c r="K17" s="1"/>
  <c r="L17" s="1"/>
  <c r="M17" s="1"/>
  <c r="H8" i="1"/>
  <c r="E36"/>
  <c r="E40" s="1"/>
  <c r="B11" i="4" s="1"/>
  <c r="E38" i="1"/>
  <c r="C6" i="4"/>
  <c r="C7" s="1"/>
  <c r="M10"/>
  <c r="K40" i="2"/>
  <c r="D6" i="4"/>
  <c r="D7" s="1"/>
  <c r="H10" i="1"/>
  <c r="I10" s="1"/>
  <c r="G31"/>
  <c r="F38"/>
  <c r="G28"/>
  <c r="F35"/>
  <c r="F37"/>
  <c r="G30"/>
  <c r="G32"/>
  <c r="F39"/>
  <c r="G29"/>
  <c r="F36"/>
  <c r="E59" i="2"/>
  <c r="F58" s="1"/>
  <c r="E67"/>
  <c r="C45"/>
  <c r="E47"/>
  <c r="F46" s="1"/>
  <c r="C52"/>
  <c r="F16"/>
  <c r="H16"/>
  <c r="J16"/>
  <c r="L16"/>
  <c r="N16"/>
  <c r="G16"/>
  <c r="I16"/>
  <c r="K16"/>
  <c r="M16"/>
  <c r="G11"/>
  <c r="B57" s="1"/>
  <c r="D60" s="1"/>
  <c r="D61" s="1"/>
  <c r="C24"/>
  <c r="C31"/>
  <c r="E33"/>
  <c r="D38"/>
  <c r="D52"/>
  <c r="C72"/>
  <c r="D70" s="1"/>
  <c r="D80"/>
  <c r="C76"/>
  <c r="C77" s="1"/>
  <c r="E9"/>
  <c r="E10"/>
  <c r="F23"/>
  <c r="E25"/>
  <c r="F30"/>
  <c r="G30" s="1"/>
  <c r="H30" s="1"/>
  <c r="I30" s="1"/>
  <c r="J30" s="1"/>
  <c r="K30" s="1"/>
  <c r="E38"/>
  <c r="F37" s="1"/>
  <c r="G37" s="1"/>
  <c r="G38"/>
  <c r="D45"/>
  <c r="D71"/>
  <c r="E18" i="4" l="1"/>
  <c r="F18" s="1"/>
  <c r="G18" s="1"/>
  <c r="H18" s="1"/>
  <c r="I18" s="1"/>
  <c r="J18" s="1"/>
  <c r="K18" s="1"/>
  <c r="L18" s="1"/>
  <c r="M18" s="1"/>
  <c r="I8" i="1"/>
  <c r="E6" i="4"/>
  <c r="E7" s="1"/>
  <c r="J10" i="1"/>
  <c r="K59" i="2"/>
  <c r="K67" s="1"/>
  <c r="I10" i="4"/>
  <c r="G59" i="2"/>
  <c r="G67" s="1"/>
  <c r="E10" i="4"/>
  <c r="L59" i="2"/>
  <c r="L67" s="1"/>
  <c r="J10" i="4"/>
  <c r="H59" i="2"/>
  <c r="H67" s="1"/>
  <c r="F10" i="4"/>
  <c r="E60" i="2"/>
  <c r="E71" s="1"/>
  <c r="C8" i="4" s="1"/>
  <c r="C9" s="1"/>
  <c r="M59" i="2"/>
  <c r="M67" s="1"/>
  <c r="K10" i="4"/>
  <c r="I59" i="2"/>
  <c r="I67" s="1"/>
  <c r="G10" i="4"/>
  <c r="N59" i="2"/>
  <c r="N67" s="1"/>
  <c r="L10" i="4"/>
  <c r="J59" i="2"/>
  <c r="J67" s="1"/>
  <c r="H10" i="4"/>
  <c r="F59" i="2"/>
  <c r="F67" s="1"/>
  <c r="D10" i="4"/>
  <c r="G58" i="2"/>
  <c r="H29" i="1"/>
  <c r="G36"/>
  <c r="H32"/>
  <c r="G39"/>
  <c r="G35"/>
  <c r="H28"/>
  <c r="H31"/>
  <c r="G38"/>
  <c r="H30"/>
  <c r="G37"/>
  <c r="F40"/>
  <c r="C11" i="4" s="1"/>
  <c r="C12" s="1"/>
  <c r="D67" i="2"/>
  <c r="D68" s="1"/>
  <c r="H37"/>
  <c r="F60"/>
  <c r="E11"/>
  <c r="F33"/>
  <c r="E26"/>
  <c r="D75"/>
  <c r="E66"/>
  <c r="E68" s="1"/>
  <c r="F25"/>
  <c r="G23"/>
  <c r="E45"/>
  <c r="E40"/>
  <c r="F39" s="1"/>
  <c r="D72"/>
  <c r="J8" i="1" l="1"/>
  <c r="F6" i="4"/>
  <c r="F7" s="1"/>
  <c r="G60" i="2"/>
  <c r="E61"/>
  <c r="F61" s="1"/>
  <c r="G61" s="1"/>
  <c r="H58"/>
  <c r="I58" s="1"/>
  <c r="C13" i="4"/>
  <c r="C19" s="1"/>
  <c r="K10" i="1"/>
  <c r="H60" i="2"/>
  <c r="I30" i="1"/>
  <c r="H37"/>
  <c r="I31"/>
  <c r="H38"/>
  <c r="I32"/>
  <c r="H39"/>
  <c r="I29"/>
  <c r="H36"/>
  <c r="G40"/>
  <c r="D11" i="4" s="1"/>
  <c r="D12" s="1"/>
  <c r="I28" i="1"/>
  <c r="H35"/>
  <c r="G33" i="2"/>
  <c r="H33" s="1"/>
  <c r="I33" s="1"/>
  <c r="J33" s="1"/>
  <c r="K33" s="1"/>
  <c r="L33" s="1"/>
  <c r="M33" s="1"/>
  <c r="N33" s="1"/>
  <c r="O33" s="1"/>
  <c r="F40"/>
  <c r="E70"/>
  <c r="E72" s="1"/>
  <c r="D76"/>
  <c r="D77" s="1"/>
  <c r="E52"/>
  <c r="F44"/>
  <c r="G25"/>
  <c r="H23"/>
  <c r="E75"/>
  <c r="F66"/>
  <c r="F68" s="1"/>
  <c r="F26"/>
  <c r="G26" s="1"/>
  <c r="G6" i="4" l="1"/>
  <c r="G7" s="1"/>
  <c r="K8" i="1"/>
  <c r="J58" i="2"/>
  <c r="I60"/>
  <c r="H61"/>
  <c r="G39"/>
  <c r="L10" i="1"/>
  <c r="J29"/>
  <c r="I36"/>
  <c r="J32"/>
  <c r="I39"/>
  <c r="J31"/>
  <c r="I38"/>
  <c r="J30"/>
  <c r="I37"/>
  <c r="H40"/>
  <c r="E11" i="4" s="1"/>
  <c r="E12" s="1"/>
  <c r="J28" i="1"/>
  <c r="I35"/>
  <c r="F51" i="2"/>
  <c r="E76"/>
  <c r="E77" s="1"/>
  <c r="F70"/>
  <c r="F75"/>
  <c r="G66"/>
  <c r="G68" s="1"/>
  <c r="H25"/>
  <c r="I23"/>
  <c r="G44"/>
  <c r="H26"/>
  <c r="H6" i="4" l="1"/>
  <c r="H7" s="1"/>
  <c r="L8" i="1"/>
  <c r="K58" i="2"/>
  <c r="J60"/>
  <c r="I61"/>
  <c r="G40"/>
  <c r="M10" i="1"/>
  <c r="K30"/>
  <c r="J37"/>
  <c r="K31"/>
  <c r="J38"/>
  <c r="K32"/>
  <c r="J39"/>
  <c r="K29"/>
  <c r="J36"/>
  <c r="I40"/>
  <c r="F11" i="4" s="1"/>
  <c r="F12" s="1"/>
  <c r="K28" i="1"/>
  <c r="J35"/>
  <c r="F47" i="2"/>
  <c r="I25"/>
  <c r="I26" s="1"/>
  <c r="J23"/>
  <c r="G75"/>
  <c r="H66"/>
  <c r="H68" s="1"/>
  <c r="G51"/>
  <c r="E54"/>
  <c r="E80"/>
  <c r="M8" i="1" l="1"/>
  <c r="I6" i="4"/>
  <c r="I7" s="1"/>
  <c r="L58" i="2"/>
  <c r="K60"/>
  <c r="J61"/>
  <c r="F53"/>
  <c r="F54" s="1"/>
  <c r="G46"/>
  <c r="H39"/>
  <c r="H40"/>
  <c r="N10" i="1"/>
  <c r="L29"/>
  <c r="K36"/>
  <c r="L32"/>
  <c r="K39"/>
  <c r="L31"/>
  <c r="K38"/>
  <c r="L30"/>
  <c r="K37"/>
  <c r="J40"/>
  <c r="G11" i="4" s="1"/>
  <c r="G12" s="1"/>
  <c r="L28" i="1"/>
  <c r="K35"/>
  <c r="H75" i="2"/>
  <c r="I66"/>
  <c r="I68" s="1"/>
  <c r="J25"/>
  <c r="K23"/>
  <c r="J6" i="4" l="1"/>
  <c r="J7" s="1"/>
  <c r="N8" i="1"/>
  <c r="M58" i="2"/>
  <c r="L60"/>
  <c r="K61"/>
  <c r="G53"/>
  <c r="G54"/>
  <c r="F71"/>
  <c r="F80"/>
  <c r="G71"/>
  <c r="E8" i="4" s="1"/>
  <c r="E9" s="1"/>
  <c r="E13" s="1"/>
  <c r="E19" s="1"/>
  <c r="G47" i="2"/>
  <c r="O10" i="1"/>
  <c r="M30"/>
  <c r="L37"/>
  <c r="M31"/>
  <c r="L38"/>
  <c r="M32"/>
  <c r="L39"/>
  <c r="M29"/>
  <c r="L36"/>
  <c r="K40"/>
  <c r="H11" i="4" s="1"/>
  <c r="H12" s="1"/>
  <c r="M28" i="1"/>
  <c r="L35"/>
  <c r="J26" i="2"/>
  <c r="K25"/>
  <c r="L23"/>
  <c r="I75"/>
  <c r="J66"/>
  <c r="J68" s="1"/>
  <c r="G80"/>
  <c r="K6" i="4" l="1"/>
  <c r="K7" s="1"/>
  <c r="O8" i="1"/>
  <c r="N58" i="2"/>
  <c r="M60"/>
  <c r="L61"/>
  <c r="D8" i="4"/>
  <c r="D9" s="1"/>
  <c r="D13" s="1"/>
  <c r="D19" s="1"/>
  <c r="F72" i="2"/>
  <c r="H46"/>
  <c r="P10" i="1"/>
  <c r="N28"/>
  <c r="M35"/>
  <c r="N29"/>
  <c r="M36"/>
  <c r="N32"/>
  <c r="M39"/>
  <c r="N31"/>
  <c r="M38"/>
  <c r="N30"/>
  <c r="M37"/>
  <c r="L40"/>
  <c r="I11" i="4" s="1"/>
  <c r="I12" s="1"/>
  <c r="J75" i="2"/>
  <c r="K66"/>
  <c r="K68" s="1"/>
  <c r="L25"/>
  <c r="M23"/>
  <c r="K26"/>
  <c r="P8" i="1" l="1"/>
  <c r="M6" i="4" s="1"/>
  <c r="M7" s="1"/>
  <c r="L6"/>
  <c r="L7" s="1"/>
  <c r="O58" i="2"/>
  <c r="O60" s="1"/>
  <c r="N60"/>
  <c r="M61"/>
  <c r="G70"/>
  <c r="G72" s="1"/>
  <c r="F76"/>
  <c r="F77" s="1"/>
  <c r="H80"/>
  <c r="H71"/>
  <c r="F8" i="4" s="1"/>
  <c r="F9" s="1"/>
  <c r="F13" s="1"/>
  <c r="F19" s="1"/>
  <c r="H47" i="2"/>
  <c r="I46" s="1"/>
  <c r="O30" i="1"/>
  <c r="N37"/>
  <c r="O31"/>
  <c r="N38"/>
  <c r="O32"/>
  <c r="N39"/>
  <c r="O29"/>
  <c r="N36"/>
  <c r="O28"/>
  <c r="N35"/>
  <c r="M40"/>
  <c r="J11" i="4" s="1"/>
  <c r="J12" s="1"/>
  <c r="L26" i="2"/>
  <c r="M25"/>
  <c r="N23"/>
  <c r="K75"/>
  <c r="L66"/>
  <c r="L68" s="1"/>
  <c r="N40" i="1" l="1"/>
  <c r="K11" i="4" s="1"/>
  <c r="N61" i="2"/>
  <c r="O61" s="1"/>
  <c r="H70"/>
  <c r="G76"/>
  <c r="G77" s="1"/>
  <c r="H72"/>
  <c r="I47"/>
  <c r="J46" s="1"/>
  <c r="I71"/>
  <c r="G8" i="4" s="1"/>
  <c r="G9" s="1"/>
  <c r="G13" s="1"/>
  <c r="G19" s="1"/>
  <c r="I80" i="2"/>
  <c r="K12" i="4"/>
  <c r="P28" i="1"/>
  <c r="P35" s="1"/>
  <c r="O35"/>
  <c r="P29"/>
  <c r="P36" s="1"/>
  <c r="O36"/>
  <c r="P32"/>
  <c r="P39" s="1"/>
  <c r="O39"/>
  <c r="P31"/>
  <c r="P38" s="1"/>
  <c r="O38"/>
  <c r="P30"/>
  <c r="P37" s="1"/>
  <c r="O37"/>
  <c r="M26" i="2"/>
  <c r="L75"/>
  <c r="M66"/>
  <c r="M68" s="1"/>
  <c r="N25"/>
  <c r="O23"/>
  <c r="O25" s="1"/>
  <c r="I70" l="1"/>
  <c r="I72" s="1"/>
  <c r="H76"/>
  <c r="H77" s="1"/>
  <c r="J47"/>
  <c r="K46" s="1"/>
  <c r="J71"/>
  <c r="H8" i="4" s="1"/>
  <c r="H9" s="1"/>
  <c r="H13" s="1"/>
  <c r="H19" s="1"/>
  <c r="J80" i="2"/>
  <c r="P40" i="1"/>
  <c r="M11" i="4" s="1"/>
  <c r="O40" i="1"/>
  <c r="L11" i="4" s="1"/>
  <c r="L12" s="1"/>
  <c r="M75" i="2"/>
  <c r="N66"/>
  <c r="N68" s="1"/>
  <c r="N26"/>
  <c r="O26" s="1"/>
  <c r="K47" l="1"/>
  <c r="L46" s="1"/>
  <c r="K80"/>
  <c r="K71"/>
  <c r="I8" i="4" s="1"/>
  <c r="I9" s="1"/>
  <c r="I13" s="1"/>
  <c r="I19" s="1"/>
  <c r="J70" i="2"/>
  <c r="J72" s="1"/>
  <c r="I76"/>
  <c r="I77" s="1"/>
  <c r="M12" i="4"/>
  <c r="N75" i="2"/>
  <c r="O66"/>
  <c r="O68" s="1"/>
  <c r="O75" s="1"/>
  <c r="K70" l="1"/>
  <c r="K72" s="1"/>
  <c r="J76"/>
  <c r="J77" s="1"/>
  <c r="L47"/>
  <c r="M46" s="1"/>
  <c r="L71"/>
  <c r="J8" i="4" s="1"/>
  <c r="J9" s="1"/>
  <c r="J13" s="1"/>
  <c r="J19" s="1"/>
  <c r="L80" i="2"/>
  <c r="M47" l="1"/>
  <c r="N46" s="1"/>
  <c r="M71"/>
  <c r="K8" i="4" s="1"/>
  <c r="K9" s="1"/>
  <c r="K13" s="1"/>
  <c r="K19" s="1"/>
  <c r="M80" i="2"/>
  <c r="L70"/>
  <c r="L72" s="1"/>
  <c r="K76"/>
  <c r="K77" s="1"/>
  <c r="M70" l="1"/>
  <c r="M72" s="1"/>
  <c r="L76"/>
  <c r="L77" s="1"/>
  <c r="N47"/>
  <c r="O46" s="1"/>
  <c r="N71"/>
  <c r="L8" i="4" s="1"/>
  <c r="L9" s="1"/>
  <c r="L13" s="1"/>
  <c r="L19" s="1"/>
  <c r="N80" i="2"/>
  <c r="O47" l="1"/>
  <c r="O71"/>
  <c r="M8" i="4" s="1"/>
  <c r="M9" s="1"/>
  <c r="M13" s="1"/>
  <c r="O80" i="2"/>
  <c r="N70"/>
  <c r="N72" s="1"/>
  <c r="M76"/>
  <c r="M77" s="1"/>
  <c r="M19" i="4" l="1"/>
  <c r="C22" s="1"/>
  <c r="M20"/>
  <c r="C23" s="1"/>
  <c r="N76" i="2"/>
  <c r="N77" s="1"/>
  <c r="O70"/>
  <c r="O72" s="1"/>
  <c r="O76" s="1"/>
  <c r="O77" s="1"/>
  <c r="C24" i="4" l="1"/>
  <c r="C28" s="1"/>
  <c r="C34" s="1"/>
</calcChain>
</file>

<file path=xl/comments1.xml><?xml version="1.0" encoding="utf-8"?>
<comments xmlns="http://schemas.openxmlformats.org/spreadsheetml/2006/main">
  <authors>
    <author xml:space="preserve"> </author>
  </authors>
  <commentList>
    <comment ref="K14" authorId="0">
      <text>
        <r>
          <rPr>
            <b/>
            <sz val="10"/>
            <color indexed="81"/>
            <rFont val="Tahoma"/>
            <family val="2"/>
          </rPr>
          <t xml:space="preserve"> :Tesis de Grado
Si desea conocer el valor de su empresa actual ponga "No", si desea conocer el valor esperado si sale de la ley 550 ponga "Si"</t>
        </r>
      </text>
    </comment>
  </commentList>
</comments>
</file>

<file path=xl/sharedStrings.xml><?xml version="1.0" encoding="utf-8"?>
<sst xmlns="http://schemas.openxmlformats.org/spreadsheetml/2006/main" count="199" uniqueCount="143">
  <si>
    <t>Modelo de Valoración Cías en Ley 550</t>
  </si>
  <si>
    <t>Ingresos Estimados</t>
  </si>
  <si>
    <t>Año 0</t>
  </si>
  <si>
    <t>Año 1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</si>
  <si>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</si>
  <si>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</si>
  <si>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</si>
  <si>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</si>
  <si>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</si>
  <si>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</si>
  <si>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</si>
  <si>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</si>
  <si>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Año 10</t>
  </si>
  <si>
    <t>Margen Operacional</t>
  </si>
  <si>
    <t>Balance General</t>
  </si>
  <si>
    <t>Año -2</t>
  </si>
  <si>
    <t>Año -3</t>
  </si>
  <si>
    <t>Año -1</t>
  </si>
  <si>
    <t>Inventarios</t>
  </si>
  <si>
    <t>Cuentas x cobrar</t>
  </si>
  <si>
    <t>Cuentas x Pagar proveedores</t>
  </si>
  <si>
    <t>Cuentas x pagar otros</t>
  </si>
  <si>
    <t>Obligaciones laborales x pagar CP</t>
  </si>
  <si>
    <t>Margen Bruto</t>
  </si>
  <si>
    <t>Rotación CxC</t>
  </si>
  <si>
    <t>Rotación Inventarios</t>
  </si>
  <si>
    <t>Rotación de CxP proveedores</t>
  </si>
  <si>
    <t>Rotación de CxP otros</t>
  </si>
  <si>
    <t>Rotación de Obligaciones laborales</t>
  </si>
  <si>
    <t>KTNO</t>
  </si>
  <si>
    <t xml:space="preserve">     Cuentas x Cobrar</t>
  </si>
  <si>
    <t xml:space="preserve">     Inventarios</t>
  </si>
  <si>
    <t xml:space="preserve">     Cuentas x pagar proveedores</t>
  </si>
  <si>
    <t xml:space="preserve">     Cuentas x pagar otros</t>
  </si>
  <si>
    <t xml:space="preserve">     Obligaciones laborales CP</t>
  </si>
  <si>
    <t>Depreciación del período</t>
  </si>
  <si>
    <t>Depreciación acumulada</t>
  </si>
  <si>
    <t>% sobre total de PPE</t>
  </si>
  <si>
    <t>Reacomodación de %</t>
  </si>
  <si>
    <t>Años de depreciación</t>
  </si>
  <si>
    <t>Edificaciones y construcciones</t>
  </si>
  <si>
    <t>Tierra</t>
  </si>
  <si>
    <t>Maquinaria y Equipo</t>
  </si>
  <si>
    <t>Equipo de oficina</t>
  </si>
  <si>
    <t>Equipos de comunicación y computo</t>
  </si>
  <si>
    <t>Equipo de transporte</t>
  </si>
  <si>
    <t>Construcciones en proceso</t>
  </si>
  <si>
    <t>Equipo de seguridad</t>
  </si>
  <si>
    <t>Maquinaria y equipo en transito</t>
  </si>
  <si>
    <t>PPE</t>
  </si>
  <si>
    <t>CAPEX</t>
  </si>
  <si>
    <t>PROYECCION</t>
  </si>
  <si>
    <t>2010 E</t>
  </si>
  <si>
    <t>2011 E</t>
  </si>
  <si>
    <t>2012 E</t>
  </si>
  <si>
    <t>2013 E</t>
  </si>
  <si>
    <t>2014 E</t>
  </si>
  <si>
    <t>2015 E</t>
  </si>
  <si>
    <t>2016 E</t>
  </si>
  <si>
    <t>2017 E</t>
  </si>
  <si>
    <t>2018 E</t>
  </si>
  <si>
    <t>2019 E</t>
  </si>
  <si>
    <t>2020 E</t>
  </si>
  <si>
    <t>CAPEX como % ventas</t>
  </si>
  <si>
    <t>Activos de LP y Depreciación</t>
  </si>
  <si>
    <t>Vida útil</t>
  </si>
  <si>
    <t>Balance inicial</t>
  </si>
  <si>
    <t>inversiones</t>
  </si>
  <si>
    <t>depreciaciones</t>
  </si>
  <si>
    <t>depreciación acumulada</t>
  </si>
  <si>
    <t>Resumen de PPE</t>
  </si>
  <si>
    <t>Inversiones</t>
  </si>
  <si>
    <t>Balance Final</t>
  </si>
  <si>
    <t>Depreciación acumulada inicial</t>
  </si>
  <si>
    <t>Depreciación acumulada final</t>
  </si>
  <si>
    <t>Datos al Balance</t>
  </si>
  <si>
    <t>PPE bruta</t>
  </si>
  <si>
    <t>PPE neta</t>
  </si>
  <si>
    <t>Datos al P&amp;G</t>
  </si>
  <si>
    <t>Depreciación</t>
  </si>
  <si>
    <t>Inflación</t>
  </si>
  <si>
    <t>FCL</t>
  </si>
  <si>
    <t>FLUJO DE CAJA LIBRE</t>
  </si>
  <si>
    <t>Utilidad operacional</t>
  </si>
  <si>
    <t>Impuestos</t>
  </si>
  <si>
    <t>Tasa de impuestos efectiva</t>
  </si>
  <si>
    <t>UODI</t>
  </si>
  <si>
    <t>Depreciaciones</t>
  </si>
  <si>
    <t>FCB</t>
  </si>
  <si>
    <t>Variación KTNO</t>
  </si>
  <si>
    <t>Patrimonio</t>
  </si>
  <si>
    <t>Patrimonio (referencia circular)</t>
  </si>
  <si>
    <t>Kp</t>
  </si>
  <si>
    <t>Activo Libre de Riesgo</t>
  </si>
  <si>
    <t xml:space="preserve">     TES 2020 Colombia</t>
  </si>
  <si>
    <t>Prima de Mercado</t>
  </si>
  <si>
    <t>Beta</t>
  </si>
  <si>
    <t xml:space="preserve">      Textil</t>
  </si>
  <si>
    <t xml:space="preserve">      Cementero</t>
  </si>
  <si>
    <t xml:space="preserve">      Consumo masivo</t>
  </si>
  <si>
    <t xml:space="preserve">      Financiero</t>
  </si>
  <si>
    <t xml:space="preserve">      Petrolero</t>
  </si>
  <si>
    <t xml:space="preserve">      Minero</t>
  </si>
  <si>
    <t xml:space="preserve">     Activo libre de riesgo</t>
  </si>
  <si>
    <t xml:space="preserve">     Beta</t>
  </si>
  <si>
    <t>Sector en que se desempeña</t>
  </si>
  <si>
    <t>Textil</t>
  </si>
  <si>
    <t xml:space="preserve">     Prima de mercado</t>
  </si>
  <si>
    <t>WACC</t>
  </si>
  <si>
    <t>Kd antes de impuestos</t>
  </si>
  <si>
    <t>Kd despues de impuestos</t>
  </si>
  <si>
    <t>Estructura de capital</t>
  </si>
  <si>
    <t xml:space="preserve">     Deuda</t>
  </si>
  <si>
    <t xml:space="preserve">     Patrimonio</t>
  </si>
  <si>
    <t>Real</t>
  </si>
  <si>
    <t>Inflación de Largo Plazo</t>
  </si>
  <si>
    <t>Crecimiento a perpetuidad nominal</t>
  </si>
  <si>
    <t>Crecimiento a perpetuidad real</t>
  </si>
  <si>
    <t>Nominal</t>
  </si>
  <si>
    <t>WACC nominal</t>
  </si>
  <si>
    <t>Factor de descuento</t>
  </si>
  <si>
    <t>VP FCL</t>
  </si>
  <si>
    <t>VP Continuidad</t>
  </si>
  <si>
    <t>VP continuidad</t>
  </si>
  <si>
    <t>Valor de la operación</t>
  </si>
  <si>
    <t>Efectivo y equivalentes</t>
  </si>
  <si>
    <t>Inversiones temporales</t>
  </si>
  <si>
    <t>Inversiones permanentes</t>
  </si>
  <si>
    <t>Deuda financiera de Cp</t>
  </si>
  <si>
    <t>Deuda financiera de LP</t>
  </si>
  <si>
    <t>Bonos</t>
  </si>
  <si>
    <t>Papeles comerciales</t>
  </si>
  <si>
    <t>Total de pasivos</t>
  </si>
  <si>
    <t>Valor de la firma</t>
  </si>
  <si>
    <t>Efectivo y Equivalentes</t>
  </si>
  <si>
    <t>Deuda financiera Corto Plazo</t>
  </si>
  <si>
    <t>Deuda financiera Largo Plazo</t>
  </si>
  <si>
    <t>Inversiones Activos operacionales</t>
  </si>
  <si>
    <t>Salir anticipadamente de la ley</t>
  </si>
  <si>
    <t>No</t>
  </si>
  <si>
    <t xml:space="preserve">     Beta fuera de ley 550</t>
  </si>
  <si>
    <t>Margen EBITDA</t>
  </si>
  <si>
    <t>EBITDA</t>
  </si>
</sst>
</file>

<file path=xl/styles.xml><?xml version="1.0" encoding="utf-8"?>
<styleSheet xmlns="http://schemas.openxmlformats.org/spreadsheetml/2006/main">
  <numFmts count="2">
    <numFmt numFmtId="164" formatCode="_(* #,##0_);_(* \(#,##0\);_(* &quot;-&quot;_);_(@_)"/>
    <numFmt numFmtId="165" formatCode="0.0%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30"/>
      <color theme="0"/>
      <name val="Calibri"/>
      <family val="2"/>
      <scheme val="minor"/>
    </font>
    <font>
      <b/>
      <sz val="15"/>
      <color theme="0"/>
      <name val="Calibri"/>
      <family val="2"/>
      <scheme val="minor"/>
    </font>
    <font>
      <b/>
      <sz val="9"/>
      <color indexed="9"/>
      <name val="Arial"/>
      <family val="2"/>
    </font>
    <font>
      <sz val="9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b/>
      <i/>
      <sz val="9"/>
      <color indexed="18"/>
      <name val="Arial"/>
      <family val="2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0" fillId="0" borderId="0"/>
  </cellStyleXfs>
  <cellXfs count="83">
    <xf numFmtId="0" fontId="0" fillId="0" borderId="0" xfId="0"/>
    <xf numFmtId="0" fontId="2" fillId="2" borderId="0" xfId="0" applyFont="1" applyFill="1"/>
    <xf numFmtId="9" fontId="2" fillId="2" borderId="0" xfId="0" applyNumberFormat="1" applyFont="1" applyFill="1"/>
    <xf numFmtId="0" fontId="5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wrapText="1"/>
    </xf>
    <xf numFmtId="0" fontId="6" fillId="6" borderId="0" xfId="0" applyFont="1" applyFill="1"/>
    <xf numFmtId="3" fontId="6" fillId="4" borderId="0" xfId="0" applyNumberFormat="1" applyFont="1" applyFill="1" applyAlignment="1">
      <alignment horizontal="center"/>
    </xf>
    <xf numFmtId="10" fontId="6" fillId="6" borderId="0" xfId="1" applyNumberFormat="1" applyFont="1" applyFill="1" applyAlignment="1">
      <alignment horizontal="center"/>
    </xf>
    <xf numFmtId="0" fontId="6" fillId="7" borderId="1" xfId="0" applyFont="1" applyFill="1" applyBorder="1" applyAlignment="1">
      <alignment horizontal="left"/>
    </xf>
    <xf numFmtId="3" fontId="6" fillId="7" borderId="1" xfId="0" applyNumberFormat="1" applyFont="1" applyFill="1" applyBorder="1" applyAlignment="1">
      <alignment horizontal="center"/>
    </xf>
    <xf numFmtId="9" fontId="6" fillId="7" borderId="1" xfId="1" applyNumberFormat="1" applyFont="1" applyFill="1" applyBorder="1" applyAlignment="1">
      <alignment horizontal="center"/>
    </xf>
    <xf numFmtId="4" fontId="6" fillId="7" borderId="1" xfId="0" applyNumberFormat="1" applyFont="1" applyFill="1" applyBorder="1" applyAlignment="1">
      <alignment horizontal="center"/>
    </xf>
    <xf numFmtId="3" fontId="6" fillId="6" borderId="0" xfId="0" applyNumberFormat="1" applyFont="1" applyFill="1" applyAlignment="1">
      <alignment horizontal="center"/>
    </xf>
    <xf numFmtId="3" fontId="6" fillId="6" borderId="0" xfId="0" applyNumberFormat="1" applyFont="1" applyFill="1"/>
    <xf numFmtId="0" fontId="7" fillId="3" borderId="1" xfId="0" applyFont="1" applyFill="1" applyBorder="1"/>
    <xf numFmtId="0" fontId="7" fillId="3" borderId="1" xfId="0" applyFont="1" applyFill="1" applyBorder="1" applyAlignment="1">
      <alignment horizontal="center"/>
    </xf>
    <xf numFmtId="0" fontId="8" fillId="6" borderId="1" xfId="0" applyFont="1" applyFill="1" applyBorder="1"/>
    <xf numFmtId="3" fontId="8" fillId="6" borderId="1" xfId="0" applyNumberFormat="1" applyFont="1" applyFill="1" applyBorder="1" applyAlignment="1">
      <alignment horizontal="center"/>
    </xf>
    <xf numFmtId="3" fontId="8" fillId="4" borderId="1" xfId="0" applyNumberFormat="1" applyFont="1" applyFill="1" applyBorder="1" applyAlignment="1">
      <alignment horizontal="center"/>
    </xf>
    <xf numFmtId="0" fontId="8" fillId="6" borderId="0" xfId="0" applyFont="1" applyFill="1" applyBorder="1"/>
    <xf numFmtId="3" fontId="8" fillId="6" borderId="0" xfId="0" applyNumberFormat="1" applyFont="1" applyFill="1" applyBorder="1" applyAlignment="1">
      <alignment horizontal="center"/>
    </xf>
    <xf numFmtId="165" fontId="8" fillId="4" borderId="0" xfId="1" applyNumberFormat="1" applyFont="1" applyFill="1" applyBorder="1" applyAlignment="1">
      <alignment horizontal="center"/>
    </xf>
    <xf numFmtId="4" fontId="6" fillId="6" borderId="0" xfId="0" applyNumberFormat="1" applyFont="1" applyFill="1" applyAlignment="1">
      <alignment horizontal="center"/>
    </xf>
    <xf numFmtId="0" fontId="6" fillId="8" borderId="0" xfId="0" applyFont="1" applyFill="1"/>
    <xf numFmtId="3" fontId="6" fillId="8" borderId="0" xfId="0" applyNumberFormat="1" applyFont="1" applyFill="1"/>
    <xf numFmtId="0" fontId="5" fillId="3" borderId="1" xfId="0" applyFont="1" applyFill="1" applyBorder="1"/>
    <xf numFmtId="0" fontId="6" fillId="6" borderId="0" xfId="2" applyFont="1" applyFill="1" applyBorder="1"/>
    <xf numFmtId="3" fontId="8" fillId="8" borderId="0" xfId="0" applyNumberFormat="1" applyFont="1" applyFill="1" applyBorder="1"/>
    <xf numFmtId="3" fontId="8" fillId="6" borderId="0" xfId="0" applyNumberFormat="1" applyFont="1" applyFill="1" applyBorder="1"/>
    <xf numFmtId="0" fontId="6" fillId="6" borderId="3" xfId="2" applyFont="1" applyFill="1" applyBorder="1"/>
    <xf numFmtId="164" fontId="6" fillId="6" borderId="0" xfId="0" applyNumberFormat="1" applyFont="1" applyFill="1"/>
    <xf numFmtId="0" fontId="6" fillId="0" borderId="5" xfId="0" applyFont="1" applyBorder="1"/>
    <xf numFmtId="0" fontId="6" fillId="9" borderId="4" xfId="0" applyFont="1" applyFill="1" applyBorder="1"/>
    <xf numFmtId="0" fontId="6" fillId="0" borderId="6" xfId="0" applyFont="1" applyBorder="1"/>
    <xf numFmtId="0" fontId="9" fillId="6" borderId="7" xfId="0" applyFont="1" applyFill="1" applyBorder="1"/>
    <xf numFmtId="0" fontId="6" fillId="5" borderId="7" xfId="0" applyFont="1" applyFill="1" applyBorder="1"/>
    <xf numFmtId="0" fontId="6" fillId="6" borderId="7" xfId="0" applyFont="1" applyFill="1" applyBorder="1"/>
    <xf numFmtId="0" fontId="6" fillId="6" borderId="0" xfId="0" applyFont="1" applyFill="1" applyBorder="1"/>
    <xf numFmtId="0" fontId="6" fillId="8" borderId="0" xfId="0" applyFont="1" applyFill="1" applyBorder="1"/>
    <xf numFmtId="3" fontId="6" fillId="8" borderId="0" xfId="0" applyNumberFormat="1" applyFont="1" applyFill="1" applyBorder="1"/>
    <xf numFmtId="3" fontId="6" fillId="6" borderId="0" xfId="0" applyNumberFormat="1" applyFont="1" applyFill="1" applyBorder="1"/>
    <xf numFmtId="0" fontId="6" fillId="6" borderId="2" xfId="0" applyFont="1" applyFill="1" applyBorder="1"/>
    <xf numFmtId="3" fontId="6" fillId="8" borderId="2" xfId="0" applyNumberFormat="1" applyFont="1" applyFill="1" applyBorder="1"/>
    <xf numFmtId="3" fontId="6" fillId="6" borderId="2" xfId="0" applyNumberFormat="1" applyFont="1" applyFill="1" applyBorder="1"/>
    <xf numFmtId="0" fontId="6" fillId="5" borderId="0" xfId="0" applyFont="1" applyFill="1" applyAlignment="1">
      <alignment horizontal="center"/>
    </xf>
    <xf numFmtId="0" fontId="6" fillId="2" borderId="7" xfId="0" applyFont="1" applyFill="1" applyBorder="1"/>
    <xf numFmtId="4" fontId="8" fillId="2" borderId="0" xfId="0" applyNumberFormat="1" applyFont="1" applyFill="1" applyBorder="1"/>
    <xf numFmtId="3" fontId="6" fillId="2" borderId="0" xfId="0" applyNumberFormat="1" applyFont="1" applyFill="1" applyBorder="1"/>
    <xf numFmtId="3" fontId="6" fillId="2" borderId="2" xfId="0" applyNumberFormat="1" applyFont="1" applyFill="1" applyBorder="1"/>
    <xf numFmtId="3" fontId="6" fillId="2" borderId="0" xfId="0" applyNumberFormat="1" applyFont="1" applyFill="1"/>
    <xf numFmtId="3" fontId="2" fillId="2" borderId="0" xfId="0" applyNumberFormat="1" applyFont="1" applyFill="1"/>
    <xf numFmtId="0" fontId="11" fillId="2" borderId="1" xfId="0" applyFont="1" applyFill="1" applyBorder="1"/>
    <xf numFmtId="3" fontId="11" fillId="2" borderId="1" xfId="0" applyNumberFormat="1" applyFont="1" applyFill="1" applyBorder="1"/>
    <xf numFmtId="0" fontId="2" fillId="5" borderId="0" xfId="0" applyFont="1" applyFill="1"/>
    <xf numFmtId="10" fontId="2" fillId="2" borderId="0" xfId="0" applyNumberFormat="1" applyFont="1" applyFill="1"/>
    <xf numFmtId="165" fontId="2" fillId="2" borderId="0" xfId="1" applyNumberFormat="1" applyFont="1" applyFill="1"/>
    <xf numFmtId="10" fontId="2" fillId="2" borderId="0" xfId="1" applyNumberFormat="1" applyFont="1" applyFill="1"/>
    <xf numFmtId="0" fontId="2" fillId="2" borderId="3" xfId="0" applyFont="1" applyFill="1" applyBorder="1"/>
    <xf numFmtId="0" fontId="2" fillId="5" borderId="8" xfId="0" applyFont="1" applyFill="1" applyBorder="1"/>
    <xf numFmtId="0" fontId="2" fillId="2" borderId="9" xfId="0" applyFont="1" applyFill="1" applyBorder="1"/>
    <xf numFmtId="9" fontId="2" fillId="2" borderId="10" xfId="0" applyNumberFormat="1" applyFont="1" applyFill="1" applyBorder="1"/>
    <xf numFmtId="0" fontId="2" fillId="2" borderId="11" xfId="0" applyFont="1" applyFill="1" applyBorder="1"/>
    <xf numFmtId="10" fontId="2" fillId="2" borderId="12" xfId="1" applyNumberFormat="1" applyFont="1" applyFill="1" applyBorder="1"/>
    <xf numFmtId="0" fontId="2" fillId="2" borderId="10" xfId="0" applyFont="1" applyFill="1" applyBorder="1"/>
    <xf numFmtId="165" fontId="2" fillId="2" borderId="10" xfId="1" applyNumberFormat="1" applyFont="1" applyFill="1" applyBorder="1"/>
    <xf numFmtId="10" fontId="2" fillId="2" borderId="10" xfId="0" applyNumberFormat="1" applyFont="1" applyFill="1" applyBorder="1"/>
    <xf numFmtId="9" fontId="2" fillId="2" borderId="12" xfId="0" applyNumberFormat="1" applyFont="1" applyFill="1" applyBorder="1"/>
    <xf numFmtId="0" fontId="2" fillId="2" borderId="13" xfId="0" applyFont="1" applyFill="1" applyBorder="1"/>
    <xf numFmtId="0" fontId="2" fillId="2" borderId="8" xfId="0" applyFont="1" applyFill="1" applyBorder="1"/>
    <xf numFmtId="10" fontId="2" fillId="2" borderId="14" xfId="1" applyNumberFormat="1" applyFont="1" applyFill="1" applyBorder="1"/>
    <xf numFmtId="3" fontId="2" fillId="4" borderId="0" xfId="0" applyNumberFormat="1" applyFont="1" applyFill="1"/>
    <xf numFmtId="10" fontId="2" fillId="4" borderId="0" xfId="1" applyNumberFormat="1" applyFont="1" applyFill="1"/>
    <xf numFmtId="4" fontId="2" fillId="2" borderId="0" xfId="0" applyNumberFormat="1" applyFont="1" applyFill="1"/>
    <xf numFmtId="9" fontId="2" fillId="5" borderId="10" xfId="0" applyNumberFormat="1" applyFont="1" applyFill="1" applyBorder="1"/>
    <xf numFmtId="9" fontId="2" fillId="5" borderId="12" xfId="0" applyNumberFormat="1" applyFont="1" applyFill="1" applyBorder="1"/>
    <xf numFmtId="10" fontId="2" fillId="5" borderId="8" xfId="0" applyNumberFormat="1" applyFont="1" applyFill="1" applyBorder="1"/>
    <xf numFmtId="0" fontId="2" fillId="6" borderId="0" xfId="0" applyFont="1" applyFill="1"/>
    <xf numFmtId="0" fontId="11" fillId="2" borderId="13" xfId="0" applyFont="1" applyFill="1" applyBorder="1"/>
    <xf numFmtId="0" fontId="11" fillId="2" borderId="14" xfId="0" applyFont="1" applyFill="1" applyBorder="1"/>
    <xf numFmtId="0" fontId="11" fillId="5" borderId="4" xfId="0" applyFont="1" applyFill="1" applyBorder="1"/>
    <xf numFmtId="0" fontId="4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7" fillId="3" borderId="2" xfId="0" applyFont="1" applyFill="1" applyBorder="1" applyAlignment="1">
      <alignment horizontal="center"/>
    </xf>
  </cellXfs>
  <cellStyles count="3">
    <cellStyle name="Normal" xfId="0" builtinId="0"/>
    <cellStyle name="Normal_Activos-Depreciacion" xfId="2"/>
    <cellStyle name="Porcentual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gudelo\Mis%20documentos\Jairo\Compa&#241;&#237;as\Almacenes%20Exito\Modelo\Modelo%20Almacenes%20Exito%20-%20Celfin%20Capital%20Colombia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AT"/>
      <sheetName val="Hoja1"/>
      <sheetName val="Assumptions"/>
      <sheetName val="Same Store Sales"/>
      <sheetName val="Balance Sheet"/>
      <sheetName val="Income statement"/>
      <sheetName val="Quarterly results"/>
      <sheetName val="Cierre"/>
      <sheetName val="WC"/>
      <sheetName val="Depreciación y amortización"/>
      <sheetName val="Debt"/>
      <sheetName val="Bonos"/>
      <sheetName val="CreditCard"/>
      <sheetName val="WACC"/>
      <sheetName val="Valuation"/>
      <sheetName val="Series"/>
      <sheetName val="Macroassumptions"/>
      <sheetName val="Report Tables"/>
    </sheetNames>
    <sheetDataSet>
      <sheetData sheetId="0"/>
      <sheetData sheetId="1"/>
      <sheetData sheetId="2"/>
      <sheetData sheetId="3"/>
      <sheetData sheetId="4"/>
      <sheetData sheetId="5">
        <row r="68">
          <cell r="J68">
            <v>116765.6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0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A9" sqref="A9"/>
    </sheetView>
  </sheetViews>
  <sheetFormatPr baseColWidth="10" defaultRowHeight="12.75"/>
  <cols>
    <col min="1" max="1" width="37.5703125" style="1" bestFit="1" customWidth="1"/>
    <col min="2" max="2" width="10.5703125" style="1" customWidth="1"/>
    <col min="3" max="16384" width="11.42578125" style="1"/>
  </cols>
  <sheetData>
    <row r="1" spans="1:16" ht="12.75" customHeight="1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</row>
    <row r="2" spans="1:16" ht="12.75" customHeight="1">
      <c r="A2" s="81"/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</row>
    <row r="3" spans="1:16" ht="12.75" customHeight="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</row>
    <row r="5" spans="1:16">
      <c r="C5" s="1" t="s">
        <v>16</v>
      </c>
      <c r="D5" s="1" t="s">
        <v>15</v>
      </c>
      <c r="E5" s="1" t="s">
        <v>17</v>
      </c>
      <c r="F5" s="1" t="s">
        <v>2</v>
      </c>
      <c r="G5" s="1" t="s">
        <v>3</v>
      </c>
      <c r="H5" s="1" t="s">
        <v>4</v>
      </c>
      <c r="I5" s="1" t="s">
        <v>5</v>
      </c>
      <c r="J5" s="1" t="s">
        <v>6</v>
      </c>
      <c r="K5" s="1" t="s">
        <v>7</v>
      </c>
      <c r="L5" s="1" t="s">
        <v>8</v>
      </c>
      <c r="M5" s="1" t="s">
        <v>9</v>
      </c>
      <c r="N5" s="1" t="s">
        <v>10</v>
      </c>
      <c r="O5" s="1" t="s">
        <v>11</v>
      </c>
      <c r="P5" s="1" t="s">
        <v>12</v>
      </c>
    </row>
    <row r="6" spans="1:16">
      <c r="A6" s="1" t="s">
        <v>1</v>
      </c>
      <c r="C6" s="70">
        <v>6815786</v>
      </c>
      <c r="D6" s="70">
        <v>7124974</v>
      </c>
      <c r="E6" s="70">
        <v>6981903</v>
      </c>
      <c r="F6" s="70">
        <v>7318356.5627392409</v>
      </c>
      <c r="G6" s="70">
        <v>7892034.4011846622</v>
      </c>
      <c r="H6" s="70">
        <v>8562977.5513649862</v>
      </c>
      <c r="I6" s="70">
        <v>9195984.9720691852</v>
      </c>
      <c r="J6" s="70">
        <v>9632794.258242473</v>
      </c>
      <c r="K6" s="70">
        <v>10090351.985508991</v>
      </c>
      <c r="L6" s="70">
        <v>10569643.70482067</v>
      </c>
      <c r="M6" s="70">
        <v>11071701.780799653</v>
      </c>
      <c r="N6" s="70">
        <v>11597607.615387637</v>
      </c>
      <c r="O6" s="70">
        <v>12148493.977118552</v>
      </c>
      <c r="P6" s="70">
        <v>12725547.441031683</v>
      </c>
    </row>
    <row r="7" spans="1:16">
      <c r="A7" s="1" t="s">
        <v>23</v>
      </c>
      <c r="C7" s="71">
        <v>0.24321479576970287</v>
      </c>
      <c r="D7" s="71">
        <v>0.24755416651344975</v>
      </c>
      <c r="E7" s="71">
        <v>0.24904914892114657</v>
      </c>
      <c r="F7" s="54">
        <f>+AVERAGE(C7:E7)</f>
        <v>0.24660603706809972</v>
      </c>
      <c r="G7" s="54">
        <f>+F7</f>
        <v>0.24660603706809972</v>
      </c>
      <c r="H7" s="54">
        <f t="shared" ref="H7:P7" si="0">+G7</f>
        <v>0.24660603706809972</v>
      </c>
      <c r="I7" s="54">
        <f t="shared" si="0"/>
        <v>0.24660603706809972</v>
      </c>
      <c r="J7" s="54">
        <f t="shared" si="0"/>
        <v>0.24660603706809972</v>
      </c>
      <c r="K7" s="54">
        <f t="shared" si="0"/>
        <v>0.24660603706809972</v>
      </c>
      <c r="L7" s="54">
        <f t="shared" si="0"/>
        <v>0.24660603706809972</v>
      </c>
      <c r="M7" s="54">
        <f t="shared" si="0"/>
        <v>0.24660603706809972</v>
      </c>
      <c r="N7" s="54">
        <f t="shared" si="0"/>
        <v>0.24660603706809972</v>
      </c>
      <c r="O7" s="54">
        <f t="shared" si="0"/>
        <v>0.24660603706809972</v>
      </c>
      <c r="P7" s="54">
        <f t="shared" si="0"/>
        <v>0.24660603706809972</v>
      </c>
    </row>
    <row r="8" spans="1:16">
      <c r="A8" s="1" t="s">
        <v>13</v>
      </c>
      <c r="C8" s="71">
        <v>3.8898375037009672E-2</v>
      </c>
      <c r="D8" s="71">
        <v>3.7317469509362419E-2</v>
      </c>
      <c r="E8" s="71">
        <v>3.6505520056637854E-2</v>
      </c>
      <c r="F8" s="54">
        <f>+AVERAGE(C8:E8)</f>
        <v>3.7573788201003315E-2</v>
      </c>
      <c r="G8" s="54">
        <f>+F8</f>
        <v>3.7573788201003315E-2</v>
      </c>
      <c r="H8" s="54">
        <f t="shared" ref="H8:P9" si="1">+G8</f>
        <v>3.7573788201003315E-2</v>
      </c>
      <c r="I8" s="54">
        <f t="shared" si="1"/>
        <v>3.7573788201003315E-2</v>
      </c>
      <c r="J8" s="54">
        <f t="shared" si="1"/>
        <v>3.7573788201003315E-2</v>
      </c>
      <c r="K8" s="54">
        <f t="shared" si="1"/>
        <v>3.7573788201003315E-2</v>
      </c>
      <c r="L8" s="54">
        <f t="shared" si="1"/>
        <v>3.7573788201003315E-2</v>
      </c>
      <c r="M8" s="54">
        <f t="shared" si="1"/>
        <v>3.7573788201003315E-2</v>
      </c>
      <c r="N8" s="54">
        <f t="shared" si="1"/>
        <v>3.7573788201003315E-2</v>
      </c>
      <c r="O8" s="54">
        <f t="shared" si="1"/>
        <v>3.7573788201003315E-2</v>
      </c>
      <c r="P8" s="54">
        <f t="shared" si="1"/>
        <v>3.7573788201003315E-2</v>
      </c>
    </row>
    <row r="9" spans="1:16">
      <c r="A9" s="1" t="s">
        <v>141</v>
      </c>
      <c r="C9" s="71">
        <v>0.06</v>
      </c>
      <c r="D9" s="71">
        <v>5.8000000000000003E-2</v>
      </c>
      <c r="E9" s="71">
        <v>0.05</v>
      </c>
      <c r="F9" s="54">
        <f>+AVERAGE(C9:E9)</f>
        <v>5.5999999999999994E-2</v>
      </c>
      <c r="G9" s="54">
        <f>+F9</f>
        <v>5.5999999999999994E-2</v>
      </c>
      <c r="H9" s="54">
        <f t="shared" si="1"/>
        <v>5.5999999999999994E-2</v>
      </c>
      <c r="I9" s="54">
        <f t="shared" si="1"/>
        <v>5.5999999999999994E-2</v>
      </c>
      <c r="J9" s="54">
        <f t="shared" si="1"/>
        <v>5.5999999999999994E-2</v>
      </c>
      <c r="K9" s="54">
        <f t="shared" si="1"/>
        <v>5.5999999999999994E-2</v>
      </c>
      <c r="L9" s="54">
        <f t="shared" si="1"/>
        <v>5.5999999999999994E-2</v>
      </c>
      <c r="M9" s="54">
        <f t="shared" si="1"/>
        <v>5.5999999999999994E-2</v>
      </c>
      <c r="N9" s="54">
        <f t="shared" si="1"/>
        <v>5.5999999999999994E-2</v>
      </c>
      <c r="O9" s="54">
        <f t="shared" si="1"/>
        <v>5.5999999999999994E-2</v>
      </c>
      <c r="P9" s="54">
        <f t="shared" si="1"/>
        <v>5.5999999999999994E-2</v>
      </c>
    </row>
    <row r="10" spans="1:16">
      <c r="A10" s="1" t="s">
        <v>85</v>
      </c>
      <c r="C10" s="71">
        <v>0.29112280018183001</v>
      </c>
      <c r="D10" s="71">
        <v>0.11385842388256341</v>
      </c>
      <c r="E10" s="71">
        <v>0.24114943949884601</v>
      </c>
      <c r="F10" s="56">
        <f>+AVERAGE(C10:E10)</f>
        <v>0.21537688785441314</v>
      </c>
      <c r="G10" s="56">
        <f>+F10</f>
        <v>0.21537688785441314</v>
      </c>
      <c r="H10" s="56">
        <f t="shared" ref="H10:P10" si="2">+G10</f>
        <v>0.21537688785441314</v>
      </c>
      <c r="I10" s="56">
        <f t="shared" si="2"/>
        <v>0.21537688785441314</v>
      </c>
      <c r="J10" s="56">
        <f t="shared" si="2"/>
        <v>0.21537688785441314</v>
      </c>
      <c r="K10" s="56">
        <f t="shared" si="2"/>
        <v>0.21537688785441314</v>
      </c>
      <c r="L10" s="56">
        <f t="shared" si="2"/>
        <v>0.21537688785441314</v>
      </c>
      <c r="M10" s="56">
        <f t="shared" si="2"/>
        <v>0.21537688785441314</v>
      </c>
      <c r="N10" s="56">
        <f t="shared" si="2"/>
        <v>0.21537688785441314</v>
      </c>
      <c r="O10" s="56">
        <f t="shared" si="2"/>
        <v>0.21537688785441314</v>
      </c>
      <c r="P10" s="56">
        <f t="shared" si="2"/>
        <v>0.21537688785441314</v>
      </c>
    </row>
    <row r="12" spans="1:16" ht="19.5">
      <c r="A12" s="80" t="s">
        <v>14</v>
      </c>
      <c r="B12" s="80"/>
      <c r="C12" s="80"/>
      <c r="D12" s="80"/>
      <c r="E12" s="80"/>
    </row>
    <row r="13" spans="1:16">
      <c r="C13" s="1" t="s">
        <v>16</v>
      </c>
      <c r="D13" s="1" t="s">
        <v>15</v>
      </c>
      <c r="E13" s="1" t="s">
        <v>17</v>
      </c>
    </row>
    <row r="14" spans="1:16">
      <c r="A14" s="1" t="s">
        <v>19</v>
      </c>
      <c r="C14" s="70">
        <v>304486</v>
      </c>
      <c r="D14" s="70">
        <v>258180</v>
      </c>
      <c r="E14" s="70">
        <v>230824</v>
      </c>
      <c r="H14" s="77" t="s">
        <v>138</v>
      </c>
      <c r="I14" s="51"/>
      <c r="J14" s="78"/>
      <c r="K14" s="79" t="s">
        <v>139</v>
      </c>
    </row>
    <row r="15" spans="1:16">
      <c r="A15" s="1" t="s">
        <v>18</v>
      </c>
      <c r="C15" s="70">
        <v>922540</v>
      </c>
      <c r="D15" s="70">
        <v>948918</v>
      </c>
      <c r="E15" s="70">
        <v>806283</v>
      </c>
    </row>
    <row r="16" spans="1:16">
      <c r="A16" s="1" t="s">
        <v>20</v>
      </c>
      <c r="C16" s="70">
        <v>805604</v>
      </c>
      <c r="D16" s="70">
        <v>904289</v>
      </c>
      <c r="E16" s="70">
        <v>972810</v>
      </c>
    </row>
    <row r="17" spans="1:16">
      <c r="A17" s="1" t="s">
        <v>21</v>
      </c>
      <c r="C17" s="70">
        <v>255572</v>
      </c>
      <c r="D17" s="70">
        <v>280231</v>
      </c>
      <c r="E17" s="70">
        <v>179137</v>
      </c>
    </row>
    <row r="18" spans="1:16">
      <c r="A18" s="1" t="s">
        <v>22</v>
      </c>
      <c r="C18" s="70">
        <v>52539</v>
      </c>
      <c r="D18" s="70">
        <v>47490</v>
      </c>
      <c r="E18" s="70">
        <v>37094</v>
      </c>
    </row>
    <row r="20" spans="1:16">
      <c r="A20" s="1" t="s">
        <v>134</v>
      </c>
      <c r="C20" s="70">
        <v>219186</v>
      </c>
      <c r="D20" s="70">
        <v>185031</v>
      </c>
      <c r="E20" s="70">
        <v>396110</v>
      </c>
    </row>
    <row r="21" spans="1:16">
      <c r="A21" s="1" t="s">
        <v>126</v>
      </c>
      <c r="C21" s="70">
        <v>345404</v>
      </c>
      <c r="D21" s="70">
        <v>221032.89269999997</v>
      </c>
      <c r="E21" s="70">
        <v>246464</v>
      </c>
    </row>
    <row r="22" spans="1:16">
      <c r="A22" s="1" t="s">
        <v>127</v>
      </c>
      <c r="C22" s="70">
        <v>200063</v>
      </c>
      <c r="D22" s="70">
        <v>179485</v>
      </c>
      <c r="E22" s="70">
        <v>124835</v>
      </c>
    </row>
    <row r="23" spans="1:16">
      <c r="A23" s="1" t="s">
        <v>135</v>
      </c>
      <c r="C23" s="70">
        <v>40069</v>
      </c>
      <c r="D23" s="70">
        <v>476527</v>
      </c>
      <c r="E23" s="70">
        <v>231946</v>
      </c>
    </row>
    <row r="24" spans="1:16">
      <c r="A24" s="1" t="s">
        <v>136</v>
      </c>
      <c r="C24" s="70">
        <v>955290</v>
      </c>
      <c r="D24" s="70">
        <v>547507</v>
      </c>
      <c r="E24" s="70">
        <v>283664</v>
      </c>
    </row>
    <row r="25" spans="1:16">
      <c r="A25" s="1" t="s">
        <v>130</v>
      </c>
      <c r="C25" s="70">
        <v>255000</v>
      </c>
      <c r="D25" s="70">
        <v>255000</v>
      </c>
      <c r="E25" s="70">
        <v>255000</v>
      </c>
    </row>
    <row r="26" spans="1:16">
      <c r="A26" s="1" t="s">
        <v>131</v>
      </c>
      <c r="C26" s="70">
        <v>0</v>
      </c>
      <c r="D26" s="70">
        <v>0</v>
      </c>
      <c r="E26" s="70">
        <v>0</v>
      </c>
    </row>
    <row r="28" spans="1:16">
      <c r="A28" s="1" t="s">
        <v>24</v>
      </c>
      <c r="C28" s="72">
        <f>+C6/C14</f>
        <v>22.384562837043411</v>
      </c>
      <c r="D28" s="72">
        <f>+D6/D14</f>
        <v>27.596924626229761</v>
      </c>
      <c r="E28" s="72">
        <f>+E6/E14</f>
        <v>30.247734204415487</v>
      </c>
      <c r="F28" s="72">
        <f>+IF(K14="No",AVERAGE(D28:E28),AVERAGE(D28:E28)*1.02)</f>
        <v>28.922329415322622</v>
      </c>
      <c r="G28" s="72">
        <f>+F28</f>
        <v>28.922329415322622</v>
      </c>
      <c r="H28" s="72">
        <f t="shared" ref="H28:P28" si="3">+G28</f>
        <v>28.922329415322622</v>
      </c>
      <c r="I28" s="72">
        <f t="shared" si="3"/>
        <v>28.922329415322622</v>
      </c>
      <c r="J28" s="72">
        <f t="shared" si="3"/>
        <v>28.922329415322622</v>
      </c>
      <c r="K28" s="72">
        <f t="shared" si="3"/>
        <v>28.922329415322622</v>
      </c>
      <c r="L28" s="72">
        <f t="shared" si="3"/>
        <v>28.922329415322622</v>
      </c>
      <c r="M28" s="72">
        <f t="shared" si="3"/>
        <v>28.922329415322622</v>
      </c>
      <c r="N28" s="72">
        <f t="shared" si="3"/>
        <v>28.922329415322622</v>
      </c>
      <c r="O28" s="72">
        <f t="shared" si="3"/>
        <v>28.922329415322622</v>
      </c>
      <c r="P28" s="72">
        <f t="shared" si="3"/>
        <v>28.922329415322622</v>
      </c>
    </row>
    <row r="29" spans="1:16">
      <c r="A29" s="1" t="s">
        <v>25</v>
      </c>
      <c r="C29" s="72">
        <f>+C6*(100%-C7)/C15</f>
        <v>5.5911787022784916</v>
      </c>
      <c r="D29" s="72">
        <f t="shared" ref="D29:E29" si="4">+D6*(100%-D7)/D15</f>
        <v>5.6497579348268241</v>
      </c>
      <c r="E29" s="72">
        <f t="shared" si="4"/>
        <v>6.5027614373613236</v>
      </c>
      <c r="F29" s="72">
        <f>+IF(K14="No",AVERAGE(D29:E29),AVERAGE(D29:E29)*1.02)</f>
        <v>6.0762596860940743</v>
      </c>
      <c r="G29" s="72">
        <f t="shared" ref="G29:P29" si="5">+F29</f>
        <v>6.0762596860940743</v>
      </c>
      <c r="H29" s="72">
        <f t="shared" si="5"/>
        <v>6.0762596860940743</v>
      </c>
      <c r="I29" s="72">
        <f t="shared" si="5"/>
        <v>6.0762596860940743</v>
      </c>
      <c r="J29" s="72">
        <f t="shared" si="5"/>
        <v>6.0762596860940743</v>
      </c>
      <c r="K29" s="72">
        <f t="shared" si="5"/>
        <v>6.0762596860940743</v>
      </c>
      <c r="L29" s="72">
        <f t="shared" si="5"/>
        <v>6.0762596860940743</v>
      </c>
      <c r="M29" s="72">
        <f t="shared" si="5"/>
        <v>6.0762596860940743</v>
      </c>
      <c r="N29" s="72">
        <f t="shared" si="5"/>
        <v>6.0762596860940743</v>
      </c>
      <c r="O29" s="72">
        <f t="shared" si="5"/>
        <v>6.0762596860940743</v>
      </c>
      <c r="P29" s="72">
        <f t="shared" si="5"/>
        <v>6.0762596860940743</v>
      </c>
    </row>
    <row r="30" spans="1:16">
      <c r="A30" s="1" t="s">
        <v>26</v>
      </c>
      <c r="C30" s="72">
        <f>+C6*(100%-C7)/C16</f>
        <v>6.4027561928689529</v>
      </c>
      <c r="D30" s="72">
        <f>+D6*(100%-D7)/D16</f>
        <v>5.9285880951775374</v>
      </c>
      <c r="E30" s="72">
        <f>+E6*(100%-E7)/E16</f>
        <v>5.3896094818104254</v>
      </c>
      <c r="F30" s="72">
        <f>+IF(K14="No",AVERAGE(D30:E30),AVERAGE(D30:E30)*0.96)</f>
        <v>5.6590987884939814</v>
      </c>
      <c r="G30" s="72">
        <f t="shared" ref="G30:P30" si="6">+F30</f>
        <v>5.6590987884939814</v>
      </c>
      <c r="H30" s="72">
        <f t="shared" si="6"/>
        <v>5.6590987884939814</v>
      </c>
      <c r="I30" s="72">
        <f t="shared" si="6"/>
        <v>5.6590987884939814</v>
      </c>
      <c r="J30" s="72">
        <f t="shared" si="6"/>
        <v>5.6590987884939814</v>
      </c>
      <c r="K30" s="72">
        <f t="shared" si="6"/>
        <v>5.6590987884939814</v>
      </c>
      <c r="L30" s="72">
        <f t="shared" si="6"/>
        <v>5.6590987884939814</v>
      </c>
      <c r="M30" s="72">
        <f t="shared" si="6"/>
        <v>5.6590987884939814</v>
      </c>
      <c r="N30" s="72">
        <f t="shared" si="6"/>
        <v>5.6590987884939814</v>
      </c>
      <c r="O30" s="72">
        <f t="shared" si="6"/>
        <v>5.6590987884939814</v>
      </c>
      <c r="P30" s="72">
        <f t="shared" si="6"/>
        <v>5.6590987884939814</v>
      </c>
    </row>
    <row r="31" spans="1:16">
      <c r="A31" s="1" t="s">
        <v>27</v>
      </c>
      <c r="C31" s="72">
        <f>+C6*(100%-C7)/C17</f>
        <v>20.18251608157388</v>
      </c>
      <c r="D31" s="72">
        <f>+D6*(100%-D7)/D17</f>
        <v>19.131206040730682</v>
      </c>
      <c r="E31" s="72">
        <f>+E6*(100%-E7)/E17</f>
        <v>29.268470500231665</v>
      </c>
      <c r="F31" s="72">
        <f>+IF(K14="No",AVERAGE(D31:E31),AVERAGE(D31:E31)*0.96)</f>
        <v>24.199838270481173</v>
      </c>
      <c r="G31" s="72">
        <f t="shared" ref="G31:P31" si="7">+F31</f>
        <v>24.199838270481173</v>
      </c>
      <c r="H31" s="72">
        <f t="shared" si="7"/>
        <v>24.199838270481173</v>
      </c>
      <c r="I31" s="72">
        <f t="shared" si="7"/>
        <v>24.199838270481173</v>
      </c>
      <c r="J31" s="72">
        <f t="shared" si="7"/>
        <v>24.199838270481173</v>
      </c>
      <c r="K31" s="72">
        <f t="shared" si="7"/>
        <v>24.199838270481173</v>
      </c>
      <c r="L31" s="72">
        <f t="shared" si="7"/>
        <v>24.199838270481173</v>
      </c>
      <c r="M31" s="72">
        <f t="shared" si="7"/>
        <v>24.199838270481173</v>
      </c>
      <c r="N31" s="72">
        <f t="shared" si="7"/>
        <v>24.199838270481173</v>
      </c>
      <c r="O31" s="72">
        <f t="shared" si="7"/>
        <v>24.199838270481173</v>
      </c>
      <c r="P31" s="72">
        <f t="shared" si="7"/>
        <v>24.199838270481173</v>
      </c>
    </row>
    <row r="32" spans="1:16">
      <c r="A32" s="1" t="s">
        <v>28</v>
      </c>
      <c r="C32" s="72">
        <f>+C6*(100%-C7)/C18</f>
        <v>98.176326157711415</v>
      </c>
      <c r="D32" s="72">
        <f>+D6*(100%-D7)/D18</f>
        <v>112.89022952200463</v>
      </c>
      <c r="E32" s="72">
        <f>+E6*(100%-E7)/E18</f>
        <v>141.34539278589529</v>
      </c>
      <c r="F32" s="72">
        <f>+IF(K14="No",AVERAGE(D32:E32),AVERAGE(D32:E32)*0.97)</f>
        <v>127.11781115394996</v>
      </c>
      <c r="G32" s="72">
        <f t="shared" ref="G32:P32" si="8">+F32</f>
        <v>127.11781115394996</v>
      </c>
      <c r="H32" s="72">
        <f t="shared" si="8"/>
        <v>127.11781115394996</v>
      </c>
      <c r="I32" s="72">
        <f t="shared" si="8"/>
        <v>127.11781115394996</v>
      </c>
      <c r="J32" s="72">
        <f t="shared" si="8"/>
        <v>127.11781115394996</v>
      </c>
      <c r="K32" s="72">
        <f t="shared" si="8"/>
        <v>127.11781115394996</v>
      </c>
      <c r="L32" s="72">
        <f t="shared" si="8"/>
        <v>127.11781115394996</v>
      </c>
      <c r="M32" s="72">
        <f t="shared" si="8"/>
        <v>127.11781115394996</v>
      </c>
      <c r="N32" s="72">
        <f t="shared" si="8"/>
        <v>127.11781115394996</v>
      </c>
      <c r="O32" s="72">
        <f t="shared" si="8"/>
        <v>127.11781115394996</v>
      </c>
      <c r="P32" s="72">
        <f t="shared" si="8"/>
        <v>127.11781115394996</v>
      </c>
    </row>
    <row r="34" spans="1:16" ht="19.5">
      <c r="A34" s="80" t="s">
        <v>29</v>
      </c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</row>
    <row r="35" spans="1:16">
      <c r="A35" s="1" t="s">
        <v>30</v>
      </c>
      <c r="E35" s="50">
        <f>+E6/E28</f>
        <v>230824</v>
      </c>
      <c r="F35" s="50">
        <f>+F6/F28</f>
        <v>253034.8250186959</v>
      </c>
      <c r="G35" s="50">
        <f t="shared" ref="G35:P35" si="9">+G6/G28</f>
        <v>272869.94376751618</v>
      </c>
      <c r="H35" s="50">
        <f t="shared" si="9"/>
        <v>296068.04584794084</v>
      </c>
      <c r="I35" s="50">
        <f t="shared" si="9"/>
        <v>317954.50636134751</v>
      </c>
      <c r="J35" s="50">
        <f t="shared" si="9"/>
        <v>333057.34541351156</v>
      </c>
      <c r="K35" s="50">
        <f t="shared" si="9"/>
        <v>348877.56932065339</v>
      </c>
      <c r="L35" s="50">
        <f t="shared" si="9"/>
        <v>365449.25386338448</v>
      </c>
      <c r="M35" s="50">
        <f t="shared" si="9"/>
        <v>382808.09342189535</v>
      </c>
      <c r="N35" s="50">
        <f t="shared" si="9"/>
        <v>400991.47785943537</v>
      </c>
      <c r="O35" s="50">
        <f t="shared" si="9"/>
        <v>420038.57305775862</v>
      </c>
      <c r="P35" s="50">
        <f t="shared" si="9"/>
        <v>439990.40527800214</v>
      </c>
    </row>
    <row r="36" spans="1:16">
      <c r="A36" s="1" t="s">
        <v>31</v>
      </c>
      <c r="E36" s="50">
        <f>+E6*(100%-E7)/E29</f>
        <v>806283</v>
      </c>
      <c r="F36" s="50">
        <f>+F6*(100%-F7)/F29</f>
        <v>907401.2530387817</v>
      </c>
      <c r="G36" s="50">
        <f t="shared" ref="G36:P36" si="10">+G6*(100%-G7)/G29</f>
        <v>978531.42891683581</v>
      </c>
      <c r="H36" s="50">
        <f t="shared" si="10"/>
        <v>1061721.5071771846</v>
      </c>
      <c r="I36" s="50">
        <f t="shared" si="10"/>
        <v>1140207.9435520261</v>
      </c>
      <c r="J36" s="50">
        <f t="shared" si="10"/>
        <v>1194367.8208707476</v>
      </c>
      <c r="K36" s="50">
        <f t="shared" si="10"/>
        <v>1251100.2923621081</v>
      </c>
      <c r="L36" s="50">
        <f t="shared" si="10"/>
        <v>1310527.5562493086</v>
      </c>
      <c r="M36" s="50">
        <f t="shared" si="10"/>
        <v>1372777.6151711508</v>
      </c>
      <c r="N36" s="50">
        <f t="shared" si="10"/>
        <v>1437984.5518917805</v>
      </c>
      <c r="O36" s="50">
        <f t="shared" si="10"/>
        <v>1506288.8181066401</v>
      </c>
      <c r="P36" s="50">
        <f t="shared" si="10"/>
        <v>1577837.5369667057</v>
      </c>
    </row>
    <row r="37" spans="1:16">
      <c r="A37" s="1" t="s">
        <v>32</v>
      </c>
      <c r="E37" s="50">
        <f>+E6*(100%-E7)/E30</f>
        <v>972810</v>
      </c>
      <c r="F37" s="50">
        <f>+F6*(100%-F7)/F30</f>
        <v>974290.40541949903</v>
      </c>
      <c r="G37" s="50">
        <f t="shared" ref="G37:P37" si="11">+G6*(100%-G7)/G30</f>
        <v>1050663.9476222536</v>
      </c>
      <c r="H37" s="50">
        <f t="shared" si="11"/>
        <v>1139986.3888286366</v>
      </c>
      <c r="I37" s="50">
        <f t="shared" si="11"/>
        <v>1224258.4588301841</v>
      </c>
      <c r="J37" s="50">
        <f t="shared" si="11"/>
        <v>1282410.7356246181</v>
      </c>
      <c r="K37" s="50">
        <f t="shared" si="11"/>
        <v>1343325.2455667877</v>
      </c>
      <c r="L37" s="50">
        <f t="shared" si="11"/>
        <v>1407133.1947312104</v>
      </c>
      <c r="M37" s="50">
        <f t="shared" si="11"/>
        <v>1473972.0214809428</v>
      </c>
      <c r="N37" s="50">
        <f t="shared" si="11"/>
        <v>1543985.6925012877</v>
      </c>
      <c r="O37" s="50">
        <f t="shared" si="11"/>
        <v>1617325.0128950991</v>
      </c>
      <c r="P37" s="50">
        <f t="shared" si="11"/>
        <v>1694147.9510076162</v>
      </c>
    </row>
    <row r="38" spans="1:16">
      <c r="A38" s="1" t="s">
        <v>33</v>
      </c>
      <c r="E38" s="50">
        <f>+E6*(100%-E7)/E31</f>
        <v>179137</v>
      </c>
      <c r="F38" s="50">
        <f>+F6*(100%-F7)/F31</f>
        <v>227836.46697656912</v>
      </c>
      <c r="G38" s="50">
        <f t="shared" ref="G38:P38" si="12">+G6*(100%-G7)/G31</f>
        <v>245696.31444008724</v>
      </c>
      <c r="H38" s="50">
        <f t="shared" si="12"/>
        <v>266584.2440686482</v>
      </c>
      <c r="I38" s="50">
        <f t="shared" si="12"/>
        <v>286291.15135948587</v>
      </c>
      <c r="J38" s="50">
        <f t="shared" si="12"/>
        <v>299889.98104906146</v>
      </c>
      <c r="K38" s="50">
        <f t="shared" si="12"/>
        <v>314134.75514889194</v>
      </c>
      <c r="L38" s="50">
        <f t="shared" si="12"/>
        <v>329056.15601846436</v>
      </c>
      <c r="M38" s="50">
        <f t="shared" si="12"/>
        <v>344686.32342934143</v>
      </c>
      <c r="N38" s="50">
        <f t="shared" si="12"/>
        <v>361058.92379223515</v>
      </c>
      <c r="O38" s="50">
        <f t="shared" si="12"/>
        <v>378209.22267236636</v>
      </c>
      <c r="P38" s="50">
        <f t="shared" si="12"/>
        <v>396174.16074930376</v>
      </c>
    </row>
    <row r="39" spans="1:16">
      <c r="A39" s="1" t="s">
        <v>34</v>
      </c>
      <c r="E39" s="50">
        <f>+E6*(100%-E7)/E32</f>
        <v>37094</v>
      </c>
      <c r="F39" s="50">
        <f>+F6*(100%-F7)/F32</f>
        <v>43373.982000629119</v>
      </c>
      <c r="G39" s="50">
        <f t="shared" ref="G39:P39" si="13">+G6*(100%-G7)/G32</f>
        <v>46774.020250415895</v>
      </c>
      <c r="H39" s="50">
        <f t="shared" si="13"/>
        <v>50750.524520177001</v>
      </c>
      <c r="I39" s="50">
        <f t="shared" si="13"/>
        <v>54502.193660169251</v>
      </c>
      <c r="J39" s="50">
        <f t="shared" si="13"/>
        <v>57091.047859027298</v>
      </c>
      <c r="K39" s="50">
        <f t="shared" si="13"/>
        <v>59802.872632331106</v>
      </c>
      <c r="L39" s="50">
        <f t="shared" si="13"/>
        <v>62643.509082366843</v>
      </c>
      <c r="M39" s="50">
        <f t="shared" si="13"/>
        <v>65619.07576377927</v>
      </c>
      <c r="N39" s="50">
        <f t="shared" si="13"/>
        <v>68735.981862558794</v>
      </c>
      <c r="O39" s="50">
        <f t="shared" si="13"/>
        <v>72000.94100103034</v>
      </c>
      <c r="P39" s="50">
        <f t="shared" si="13"/>
        <v>75420.985698579287</v>
      </c>
    </row>
    <row r="40" spans="1:16">
      <c r="A40" s="1" t="s">
        <v>29</v>
      </c>
      <c r="E40" s="50">
        <f>+E35+E36-E37-E38-E39</f>
        <v>-151934</v>
      </c>
      <c r="F40" s="50">
        <f>+F35+F36-F37-F38-F39</f>
        <v>-85064.776339219563</v>
      </c>
      <c r="G40" s="50">
        <f t="shared" ref="G40:P40" si="14">+G35+G36-G37-G38-G39</f>
        <v>-91732.909628404595</v>
      </c>
      <c r="H40" s="50">
        <f t="shared" si="14"/>
        <v>-99531.604392336289</v>
      </c>
      <c r="I40" s="50">
        <f t="shared" si="14"/>
        <v>-106889.35393646552</v>
      </c>
      <c r="J40" s="50">
        <f t="shared" si="14"/>
        <v>-111966.59824844771</v>
      </c>
      <c r="K40" s="50">
        <f t="shared" si="14"/>
        <v>-117285.01166524924</v>
      </c>
      <c r="L40" s="50">
        <f t="shared" si="14"/>
        <v>-122856.04971934845</v>
      </c>
      <c r="M40" s="50">
        <f t="shared" si="14"/>
        <v>-128691.71208101748</v>
      </c>
      <c r="N40" s="50">
        <f t="shared" si="14"/>
        <v>-134804.5684048658</v>
      </c>
      <c r="O40" s="50">
        <f t="shared" si="14"/>
        <v>-141207.78540409706</v>
      </c>
      <c r="P40" s="50">
        <f t="shared" si="14"/>
        <v>-147915.15521079145</v>
      </c>
    </row>
  </sheetData>
  <mergeCells count="3">
    <mergeCell ref="A12:E12"/>
    <mergeCell ref="A1:P3"/>
    <mergeCell ref="A34:P34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129"/>
  <sheetViews>
    <sheetView topLeftCell="A57" zoomScale="90" zoomScaleNormal="90" workbookViewId="0">
      <selection activeCell="G11" sqref="G11"/>
    </sheetView>
  </sheetViews>
  <sheetFormatPr baseColWidth="10" defaultRowHeight="12"/>
  <cols>
    <col min="1" max="1" width="40" style="5" bestFit="1" customWidth="1"/>
    <col min="2" max="2" width="11.28515625" style="5" bestFit="1" customWidth="1"/>
    <col min="3" max="4" width="8.85546875" style="5" bestFit="1" customWidth="1"/>
    <col min="5" max="5" width="12.42578125" style="5" customWidth="1"/>
    <col min="6" max="6" width="14.85546875" style="5" customWidth="1"/>
    <col min="7" max="7" width="13.140625" style="5" customWidth="1"/>
    <col min="8" max="9" width="14.85546875" style="5" bestFit="1" customWidth="1"/>
    <col min="10" max="11" width="9.28515625" style="5" bestFit="1" customWidth="1"/>
    <col min="12" max="12" width="16.140625" style="5" bestFit="1" customWidth="1"/>
    <col min="13" max="15" width="9.28515625" style="5" bestFit="1" customWidth="1"/>
    <col min="16" max="243" width="11.42578125" style="5"/>
    <col min="244" max="244" width="40" style="5" bestFit="1" customWidth="1"/>
    <col min="245" max="245" width="11.28515625" style="5" bestFit="1" customWidth="1"/>
    <col min="246" max="247" width="8.85546875" style="5" bestFit="1" customWidth="1"/>
    <col min="248" max="250" width="9.28515625" style="5" bestFit="1" customWidth="1"/>
    <col min="251" max="252" width="14.85546875" style="5" bestFit="1" customWidth="1"/>
    <col min="253" max="254" width="9.28515625" style="5" bestFit="1" customWidth="1"/>
    <col min="255" max="255" width="16.140625" style="5" bestFit="1" customWidth="1"/>
    <col min="256" max="259" width="9.28515625" style="5" bestFit="1" customWidth="1"/>
    <col min="260" max="262" width="6" style="5" bestFit="1" customWidth="1"/>
    <col min="263" max="499" width="11.42578125" style="5"/>
    <col min="500" max="500" width="40" style="5" bestFit="1" customWidth="1"/>
    <col min="501" max="501" width="11.28515625" style="5" bestFit="1" customWidth="1"/>
    <col min="502" max="503" width="8.85546875" style="5" bestFit="1" customWidth="1"/>
    <col min="504" max="506" width="9.28515625" style="5" bestFit="1" customWidth="1"/>
    <col min="507" max="508" width="14.85546875" style="5" bestFit="1" customWidth="1"/>
    <col min="509" max="510" width="9.28515625" style="5" bestFit="1" customWidth="1"/>
    <col min="511" max="511" width="16.140625" style="5" bestFit="1" customWidth="1"/>
    <col min="512" max="515" width="9.28515625" style="5" bestFit="1" customWidth="1"/>
    <col min="516" max="518" width="6" style="5" bestFit="1" customWidth="1"/>
    <col min="519" max="755" width="11.42578125" style="5"/>
    <col min="756" max="756" width="40" style="5" bestFit="1" customWidth="1"/>
    <col min="757" max="757" width="11.28515625" style="5" bestFit="1" customWidth="1"/>
    <col min="758" max="759" width="8.85546875" style="5" bestFit="1" customWidth="1"/>
    <col min="760" max="762" width="9.28515625" style="5" bestFit="1" customWidth="1"/>
    <col min="763" max="764" width="14.85546875" style="5" bestFit="1" customWidth="1"/>
    <col min="765" max="766" width="9.28515625" style="5" bestFit="1" customWidth="1"/>
    <col min="767" max="767" width="16.140625" style="5" bestFit="1" customWidth="1"/>
    <col min="768" max="771" width="9.28515625" style="5" bestFit="1" customWidth="1"/>
    <col min="772" max="774" width="6" style="5" bestFit="1" customWidth="1"/>
    <col min="775" max="1011" width="11.42578125" style="5"/>
    <col min="1012" max="1012" width="40" style="5" bestFit="1" customWidth="1"/>
    <col min="1013" max="1013" width="11.28515625" style="5" bestFit="1" customWidth="1"/>
    <col min="1014" max="1015" width="8.85546875" style="5" bestFit="1" customWidth="1"/>
    <col min="1016" max="1018" width="9.28515625" style="5" bestFit="1" customWidth="1"/>
    <col min="1019" max="1020" width="14.85546875" style="5" bestFit="1" customWidth="1"/>
    <col min="1021" max="1022" width="9.28515625" style="5" bestFit="1" customWidth="1"/>
    <col min="1023" max="1023" width="16.140625" style="5" bestFit="1" customWidth="1"/>
    <col min="1024" max="1027" width="9.28515625" style="5" bestFit="1" customWidth="1"/>
    <col min="1028" max="1030" width="6" style="5" bestFit="1" customWidth="1"/>
    <col min="1031" max="1267" width="11.42578125" style="5"/>
    <col min="1268" max="1268" width="40" style="5" bestFit="1" customWidth="1"/>
    <col min="1269" max="1269" width="11.28515625" style="5" bestFit="1" customWidth="1"/>
    <col min="1270" max="1271" width="8.85546875" style="5" bestFit="1" customWidth="1"/>
    <col min="1272" max="1274" width="9.28515625" style="5" bestFit="1" customWidth="1"/>
    <col min="1275" max="1276" width="14.85546875" style="5" bestFit="1" customWidth="1"/>
    <col min="1277" max="1278" width="9.28515625" style="5" bestFit="1" customWidth="1"/>
    <col min="1279" max="1279" width="16.140625" style="5" bestFit="1" customWidth="1"/>
    <col min="1280" max="1283" width="9.28515625" style="5" bestFit="1" customWidth="1"/>
    <col min="1284" max="1286" width="6" style="5" bestFit="1" customWidth="1"/>
    <col min="1287" max="1523" width="11.42578125" style="5"/>
    <col min="1524" max="1524" width="40" style="5" bestFit="1" customWidth="1"/>
    <col min="1525" max="1525" width="11.28515625" style="5" bestFit="1" customWidth="1"/>
    <col min="1526" max="1527" width="8.85546875" style="5" bestFit="1" customWidth="1"/>
    <col min="1528" max="1530" width="9.28515625" style="5" bestFit="1" customWidth="1"/>
    <col min="1531" max="1532" width="14.85546875" style="5" bestFit="1" customWidth="1"/>
    <col min="1533" max="1534" width="9.28515625" style="5" bestFit="1" customWidth="1"/>
    <col min="1535" max="1535" width="16.140625" style="5" bestFit="1" customWidth="1"/>
    <col min="1536" max="1539" width="9.28515625" style="5" bestFit="1" customWidth="1"/>
    <col min="1540" max="1542" width="6" style="5" bestFit="1" customWidth="1"/>
    <col min="1543" max="1779" width="11.42578125" style="5"/>
    <col min="1780" max="1780" width="40" style="5" bestFit="1" customWidth="1"/>
    <col min="1781" max="1781" width="11.28515625" style="5" bestFit="1" customWidth="1"/>
    <col min="1782" max="1783" width="8.85546875" style="5" bestFit="1" customWidth="1"/>
    <col min="1784" max="1786" width="9.28515625" style="5" bestFit="1" customWidth="1"/>
    <col min="1787" max="1788" width="14.85546875" style="5" bestFit="1" customWidth="1"/>
    <col min="1789" max="1790" width="9.28515625" style="5" bestFit="1" customWidth="1"/>
    <col min="1791" max="1791" width="16.140625" style="5" bestFit="1" customWidth="1"/>
    <col min="1792" max="1795" width="9.28515625" style="5" bestFit="1" customWidth="1"/>
    <col min="1796" max="1798" width="6" style="5" bestFit="1" customWidth="1"/>
    <col min="1799" max="2035" width="11.42578125" style="5"/>
    <col min="2036" max="2036" width="40" style="5" bestFit="1" customWidth="1"/>
    <col min="2037" max="2037" width="11.28515625" style="5" bestFit="1" customWidth="1"/>
    <col min="2038" max="2039" width="8.85546875" style="5" bestFit="1" customWidth="1"/>
    <col min="2040" max="2042" width="9.28515625" style="5" bestFit="1" customWidth="1"/>
    <col min="2043" max="2044" width="14.85546875" style="5" bestFit="1" customWidth="1"/>
    <col min="2045" max="2046" width="9.28515625" style="5" bestFit="1" customWidth="1"/>
    <col min="2047" max="2047" width="16.140625" style="5" bestFit="1" customWidth="1"/>
    <col min="2048" max="2051" width="9.28515625" style="5" bestFit="1" customWidth="1"/>
    <col min="2052" max="2054" width="6" style="5" bestFit="1" customWidth="1"/>
    <col min="2055" max="2291" width="11.42578125" style="5"/>
    <col min="2292" max="2292" width="40" style="5" bestFit="1" customWidth="1"/>
    <col min="2293" max="2293" width="11.28515625" style="5" bestFit="1" customWidth="1"/>
    <col min="2294" max="2295" width="8.85546875" style="5" bestFit="1" customWidth="1"/>
    <col min="2296" max="2298" width="9.28515625" style="5" bestFit="1" customWidth="1"/>
    <col min="2299" max="2300" width="14.85546875" style="5" bestFit="1" customWidth="1"/>
    <col min="2301" max="2302" width="9.28515625" style="5" bestFit="1" customWidth="1"/>
    <col min="2303" max="2303" width="16.140625" style="5" bestFit="1" customWidth="1"/>
    <col min="2304" max="2307" width="9.28515625" style="5" bestFit="1" customWidth="1"/>
    <col min="2308" max="2310" width="6" style="5" bestFit="1" customWidth="1"/>
    <col min="2311" max="2547" width="11.42578125" style="5"/>
    <col min="2548" max="2548" width="40" style="5" bestFit="1" customWidth="1"/>
    <col min="2549" max="2549" width="11.28515625" style="5" bestFit="1" customWidth="1"/>
    <col min="2550" max="2551" width="8.85546875" style="5" bestFit="1" customWidth="1"/>
    <col min="2552" max="2554" width="9.28515625" style="5" bestFit="1" customWidth="1"/>
    <col min="2555" max="2556" width="14.85546875" style="5" bestFit="1" customWidth="1"/>
    <col min="2557" max="2558" width="9.28515625" style="5" bestFit="1" customWidth="1"/>
    <col min="2559" max="2559" width="16.140625" style="5" bestFit="1" customWidth="1"/>
    <col min="2560" max="2563" width="9.28515625" style="5" bestFit="1" customWidth="1"/>
    <col min="2564" max="2566" width="6" style="5" bestFit="1" customWidth="1"/>
    <col min="2567" max="2803" width="11.42578125" style="5"/>
    <col min="2804" max="2804" width="40" style="5" bestFit="1" customWidth="1"/>
    <col min="2805" max="2805" width="11.28515625" style="5" bestFit="1" customWidth="1"/>
    <col min="2806" max="2807" width="8.85546875" style="5" bestFit="1" customWidth="1"/>
    <col min="2808" max="2810" width="9.28515625" style="5" bestFit="1" customWidth="1"/>
    <col min="2811" max="2812" width="14.85546875" style="5" bestFit="1" customWidth="1"/>
    <col min="2813" max="2814" width="9.28515625" style="5" bestFit="1" customWidth="1"/>
    <col min="2815" max="2815" width="16.140625" style="5" bestFit="1" customWidth="1"/>
    <col min="2816" max="2819" width="9.28515625" style="5" bestFit="1" customWidth="1"/>
    <col min="2820" max="2822" width="6" style="5" bestFit="1" customWidth="1"/>
    <col min="2823" max="3059" width="11.42578125" style="5"/>
    <col min="3060" max="3060" width="40" style="5" bestFit="1" customWidth="1"/>
    <col min="3061" max="3061" width="11.28515625" style="5" bestFit="1" customWidth="1"/>
    <col min="3062" max="3063" width="8.85546875" style="5" bestFit="1" customWidth="1"/>
    <col min="3064" max="3066" width="9.28515625" style="5" bestFit="1" customWidth="1"/>
    <col min="3067" max="3068" width="14.85546875" style="5" bestFit="1" customWidth="1"/>
    <col min="3069" max="3070" width="9.28515625" style="5" bestFit="1" customWidth="1"/>
    <col min="3071" max="3071" width="16.140625" style="5" bestFit="1" customWidth="1"/>
    <col min="3072" max="3075" width="9.28515625" style="5" bestFit="1" customWidth="1"/>
    <col min="3076" max="3078" width="6" style="5" bestFit="1" customWidth="1"/>
    <col min="3079" max="3315" width="11.42578125" style="5"/>
    <col min="3316" max="3316" width="40" style="5" bestFit="1" customWidth="1"/>
    <col min="3317" max="3317" width="11.28515625" style="5" bestFit="1" customWidth="1"/>
    <col min="3318" max="3319" width="8.85546875" style="5" bestFit="1" customWidth="1"/>
    <col min="3320" max="3322" width="9.28515625" style="5" bestFit="1" customWidth="1"/>
    <col min="3323" max="3324" width="14.85546875" style="5" bestFit="1" customWidth="1"/>
    <col min="3325" max="3326" width="9.28515625" style="5" bestFit="1" customWidth="1"/>
    <col min="3327" max="3327" width="16.140625" style="5" bestFit="1" customWidth="1"/>
    <col min="3328" max="3331" width="9.28515625" style="5" bestFit="1" customWidth="1"/>
    <col min="3332" max="3334" width="6" style="5" bestFit="1" customWidth="1"/>
    <col min="3335" max="3571" width="11.42578125" style="5"/>
    <col min="3572" max="3572" width="40" style="5" bestFit="1" customWidth="1"/>
    <col min="3573" max="3573" width="11.28515625" style="5" bestFit="1" customWidth="1"/>
    <col min="3574" max="3575" width="8.85546875" style="5" bestFit="1" customWidth="1"/>
    <col min="3576" max="3578" width="9.28515625" style="5" bestFit="1" customWidth="1"/>
    <col min="3579" max="3580" width="14.85546875" style="5" bestFit="1" customWidth="1"/>
    <col min="3581" max="3582" width="9.28515625" style="5" bestFit="1" customWidth="1"/>
    <col min="3583" max="3583" width="16.140625" style="5" bestFit="1" customWidth="1"/>
    <col min="3584" max="3587" width="9.28515625" style="5" bestFit="1" customWidth="1"/>
    <col min="3588" max="3590" width="6" style="5" bestFit="1" customWidth="1"/>
    <col min="3591" max="3827" width="11.42578125" style="5"/>
    <col min="3828" max="3828" width="40" style="5" bestFit="1" customWidth="1"/>
    <col min="3829" max="3829" width="11.28515625" style="5" bestFit="1" customWidth="1"/>
    <col min="3830" max="3831" width="8.85546875" style="5" bestFit="1" customWidth="1"/>
    <col min="3832" max="3834" width="9.28515625" style="5" bestFit="1" customWidth="1"/>
    <col min="3835" max="3836" width="14.85546875" style="5" bestFit="1" customWidth="1"/>
    <col min="3837" max="3838" width="9.28515625" style="5" bestFit="1" customWidth="1"/>
    <col min="3839" max="3839" width="16.140625" style="5" bestFit="1" customWidth="1"/>
    <col min="3840" max="3843" width="9.28515625" style="5" bestFit="1" customWidth="1"/>
    <col min="3844" max="3846" width="6" style="5" bestFit="1" customWidth="1"/>
    <col min="3847" max="4083" width="11.42578125" style="5"/>
    <col min="4084" max="4084" width="40" style="5" bestFit="1" customWidth="1"/>
    <col min="4085" max="4085" width="11.28515625" style="5" bestFit="1" customWidth="1"/>
    <col min="4086" max="4087" width="8.85546875" style="5" bestFit="1" customWidth="1"/>
    <col min="4088" max="4090" width="9.28515625" style="5" bestFit="1" customWidth="1"/>
    <col min="4091" max="4092" width="14.85546875" style="5" bestFit="1" customWidth="1"/>
    <col min="4093" max="4094" width="9.28515625" style="5" bestFit="1" customWidth="1"/>
    <col min="4095" max="4095" width="16.140625" style="5" bestFit="1" customWidth="1"/>
    <col min="4096" max="4099" width="9.28515625" style="5" bestFit="1" customWidth="1"/>
    <col min="4100" max="4102" width="6" style="5" bestFit="1" customWidth="1"/>
    <col min="4103" max="4339" width="11.42578125" style="5"/>
    <col min="4340" max="4340" width="40" style="5" bestFit="1" customWidth="1"/>
    <col min="4341" max="4341" width="11.28515625" style="5" bestFit="1" customWidth="1"/>
    <col min="4342" max="4343" width="8.85546875" style="5" bestFit="1" customWidth="1"/>
    <col min="4344" max="4346" width="9.28515625" style="5" bestFit="1" customWidth="1"/>
    <col min="4347" max="4348" width="14.85546875" style="5" bestFit="1" customWidth="1"/>
    <col min="4349" max="4350" width="9.28515625" style="5" bestFit="1" customWidth="1"/>
    <col min="4351" max="4351" width="16.140625" style="5" bestFit="1" customWidth="1"/>
    <col min="4352" max="4355" width="9.28515625" style="5" bestFit="1" customWidth="1"/>
    <col min="4356" max="4358" width="6" style="5" bestFit="1" customWidth="1"/>
    <col min="4359" max="4595" width="11.42578125" style="5"/>
    <col min="4596" max="4596" width="40" style="5" bestFit="1" customWidth="1"/>
    <col min="4597" max="4597" width="11.28515625" style="5" bestFit="1" customWidth="1"/>
    <col min="4598" max="4599" width="8.85546875" style="5" bestFit="1" customWidth="1"/>
    <col min="4600" max="4602" width="9.28515625" style="5" bestFit="1" customWidth="1"/>
    <col min="4603" max="4604" width="14.85546875" style="5" bestFit="1" customWidth="1"/>
    <col min="4605" max="4606" width="9.28515625" style="5" bestFit="1" customWidth="1"/>
    <col min="4607" max="4607" width="16.140625" style="5" bestFit="1" customWidth="1"/>
    <col min="4608" max="4611" width="9.28515625" style="5" bestFit="1" customWidth="1"/>
    <col min="4612" max="4614" width="6" style="5" bestFit="1" customWidth="1"/>
    <col min="4615" max="4851" width="11.42578125" style="5"/>
    <col min="4852" max="4852" width="40" style="5" bestFit="1" customWidth="1"/>
    <col min="4853" max="4853" width="11.28515625" style="5" bestFit="1" customWidth="1"/>
    <col min="4854" max="4855" width="8.85546875" style="5" bestFit="1" customWidth="1"/>
    <col min="4856" max="4858" width="9.28515625" style="5" bestFit="1" customWidth="1"/>
    <col min="4859" max="4860" width="14.85546875" style="5" bestFit="1" customWidth="1"/>
    <col min="4861" max="4862" width="9.28515625" style="5" bestFit="1" customWidth="1"/>
    <col min="4863" max="4863" width="16.140625" style="5" bestFit="1" customWidth="1"/>
    <col min="4864" max="4867" width="9.28515625" style="5" bestFit="1" customWidth="1"/>
    <col min="4868" max="4870" width="6" style="5" bestFit="1" customWidth="1"/>
    <col min="4871" max="5107" width="11.42578125" style="5"/>
    <col min="5108" max="5108" width="40" style="5" bestFit="1" customWidth="1"/>
    <col min="5109" max="5109" width="11.28515625" style="5" bestFit="1" customWidth="1"/>
    <col min="5110" max="5111" width="8.85546875" style="5" bestFit="1" customWidth="1"/>
    <col min="5112" max="5114" width="9.28515625" style="5" bestFit="1" customWidth="1"/>
    <col min="5115" max="5116" width="14.85546875" style="5" bestFit="1" customWidth="1"/>
    <col min="5117" max="5118" width="9.28515625" style="5" bestFit="1" customWidth="1"/>
    <col min="5119" max="5119" width="16.140625" style="5" bestFit="1" customWidth="1"/>
    <col min="5120" max="5123" width="9.28515625" style="5" bestFit="1" customWidth="1"/>
    <col min="5124" max="5126" width="6" style="5" bestFit="1" customWidth="1"/>
    <col min="5127" max="5363" width="11.42578125" style="5"/>
    <col min="5364" max="5364" width="40" style="5" bestFit="1" customWidth="1"/>
    <col min="5365" max="5365" width="11.28515625" style="5" bestFit="1" customWidth="1"/>
    <col min="5366" max="5367" width="8.85546875" style="5" bestFit="1" customWidth="1"/>
    <col min="5368" max="5370" width="9.28515625" style="5" bestFit="1" customWidth="1"/>
    <col min="5371" max="5372" width="14.85546875" style="5" bestFit="1" customWidth="1"/>
    <col min="5373" max="5374" width="9.28515625" style="5" bestFit="1" customWidth="1"/>
    <col min="5375" max="5375" width="16.140625" style="5" bestFit="1" customWidth="1"/>
    <col min="5376" max="5379" width="9.28515625" style="5" bestFit="1" customWidth="1"/>
    <col min="5380" max="5382" width="6" style="5" bestFit="1" customWidth="1"/>
    <col min="5383" max="5619" width="11.42578125" style="5"/>
    <col min="5620" max="5620" width="40" style="5" bestFit="1" customWidth="1"/>
    <col min="5621" max="5621" width="11.28515625" style="5" bestFit="1" customWidth="1"/>
    <col min="5622" max="5623" width="8.85546875" style="5" bestFit="1" customWidth="1"/>
    <col min="5624" max="5626" width="9.28515625" style="5" bestFit="1" customWidth="1"/>
    <col min="5627" max="5628" width="14.85546875" style="5" bestFit="1" customWidth="1"/>
    <col min="5629" max="5630" width="9.28515625" style="5" bestFit="1" customWidth="1"/>
    <col min="5631" max="5631" width="16.140625" style="5" bestFit="1" customWidth="1"/>
    <col min="5632" max="5635" width="9.28515625" style="5" bestFit="1" customWidth="1"/>
    <col min="5636" max="5638" width="6" style="5" bestFit="1" customWidth="1"/>
    <col min="5639" max="5875" width="11.42578125" style="5"/>
    <col min="5876" max="5876" width="40" style="5" bestFit="1" customWidth="1"/>
    <col min="5877" max="5877" width="11.28515625" style="5" bestFit="1" customWidth="1"/>
    <col min="5878" max="5879" width="8.85546875" style="5" bestFit="1" customWidth="1"/>
    <col min="5880" max="5882" width="9.28515625" style="5" bestFit="1" customWidth="1"/>
    <col min="5883" max="5884" width="14.85546875" style="5" bestFit="1" customWidth="1"/>
    <col min="5885" max="5886" width="9.28515625" style="5" bestFit="1" customWidth="1"/>
    <col min="5887" max="5887" width="16.140625" style="5" bestFit="1" customWidth="1"/>
    <col min="5888" max="5891" width="9.28515625" style="5" bestFit="1" customWidth="1"/>
    <col min="5892" max="5894" width="6" style="5" bestFit="1" customWidth="1"/>
    <col min="5895" max="6131" width="11.42578125" style="5"/>
    <col min="6132" max="6132" width="40" style="5" bestFit="1" customWidth="1"/>
    <col min="6133" max="6133" width="11.28515625" style="5" bestFit="1" customWidth="1"/>
    <col min="6134" max="6135" width="8.85546875" style="5" bestFit="1" customWidth="1"/>
    <col min="6136" max="6138" width="9.28515625" style="5" bestFit="1" customWidth="1"/>
    <col min="6139" max="6140" width="14.85546875" style="5" bestFit="1" customWidth="1"/>
    <col min="6141" max="6142" width="9.28515625" style="5" bestFit="1" customWidth="1"/>
    <col min="6143" max="6143" width="16.140625" style="5" bestFit="1" customWidth="1"/>
    <col min="6144" max="6147" width="9.28515625" style="5" bestFit="1" customWidth="1"/>
    <col min="6148" max="6150" width="6" style="5" bestFit="1" customWidth="1"/>
    <col min="6151" max="6387" width="11.42578125" style="5"/>
    <col min="6388" max="6388" width="40" style="5" bestFit="1" customWidth="1"/>
    <col min="6389" max="6389" width="11.28515625" style="5" bestFit="1" customWidth="1"/>
    <col min="6390" max="6391" width="8.85546875" style="5" bestFit="1" customWidth="1"/>
    <col min="6392" max="6394" width="9.28515625" style="5" bestFit="1" customWidth="1"/>
    <col min="6395" max="6396" width="14.85546875" style="5" bestFit="1" customWidth="1"/>
    <col min="6397" max="6398" width="9.28515625" style="5" bestFit="1" customWidth="1"/>
    <col min="6399" max="6399" width="16.140625" style="5" bestFit="1" customWidth="1"/>
    <col min="6400" max="6403" width="9.28515625" style="5" bestFit="1" customWidth="1"/>
    <col min="6404" max="6406" width="6" style="5" bestFit="1" customWidth="1"/>
    <col min="6407" max="6643" width="11.42578125" style="5"/>
    <col min="6644" max="6644" width="40" style="5" bestFit="1" customWidth="1"/>
    <col min="6645" max="6645" width="11.28515625" style="5" bestFit="1" customWidth="1"/>
    <col min="6646" max="6647" width="8.85546875" style="5" bestFit="1" customWidth="1"/>
    <col min="6648" max="6650" width="9.28515625" style="5" bestFit="1" customWidth="1"/>
    <col min="6651" max="6652" width="14.85546875" style="5" bestFit="1" customWidth="1"/>
    <col min="6653" max="6654" width="9.28515625" style="5" bestFit="1" customWidth="1"/>
    <col min="6655" max="6655" width="16.140625" style="5" bestFit="1" customWidth="1"/>
    <col min="6656" max="6659" width="9.28515625" style="5" bestFit="1" customWidth="1"/>
    <col min="6660" max="6662" width="6" style="5" bestFit="1" customWidth="1"/>
    <col min="6663" max="6899" width="11.42578125" style="5"/>
    <col min="6900" max="6900" width="40" style="5" bestFit="1" customWidth="1"/>
    <col min="6901" max="6901" width="11.28515625" style="5" bestFit="1" customWidth="1"/>
    <col min="6902" max="6903" width="8.85546875" style="5" bestFit="1" customWidth="1"/>
    <col min="6904" max="6906" width="9.28515625" style="5" bestFit="1" customWidth="1"/>
    <col min="6907" max="6908" width="14.85546875" style="5" bestFit="1" customWidth="1"/>
    <col min="6909" max="6910" width="9.28515625" style="5" bestFit="1" customWidth="1"/>
    <col min="6911" max="6911" width="16.140625" style="5" bestFit="1" customWidth="1"/>
    <col min="6912" max="6915" width="9.28515625" style="5" bestFit="1" customWidth="1"/>
    <col min="6916" max="6918" width="6" style="5" bestFit="1" customWidth="1"/>
    <col min="6919" max="7155" width="11.42578125" style="5"/>
    <col min="7156" max="7156" width="40" style="5" bestFit="1" customWidth="1"/>
    <col min="7157" max="7157" width="11.28515625" style="5" bestFit="1" customWidth="1"/>
    <col min="7158" max="7159" width="8.85546875" style="5" bestFit="1" customWidth="1"/>
    <col min="7160" max="7162" width="9.28515625" style="5" bestFit="1" customWidth="1"/>
    <col min="7163" max="7164" width="14.85546875" style="5" bestFit="1" customWidth="1"/>
    <col min="7165" max="7166" width="9.28515625" style="5" bestFit="1" customWidth="1"/>
    <col min="7167" max="7167" width="16.140625" style="5" bestFit="1" customWidth="1"/>
    <col min="7168" max="7171" width="9.28515625" style="5" bestFit="1" customWidth="1"/>
    <col min="7172" max="7174" width="6" style="5" bestFit="1" customWidth="1"/>
    <col min="7175" max="7411" width="11.42578125" style="5"/>
    <col min="7412" max="7412" width="40" style="5" bestFit="1" customWidth="1"/>
    <col min="7413" max="7413" width="11.28515625" style="5" bestFit="1" customWidth="1"/>
    <col min="7414" max="7415" width="8.85546875" style="5" bestFit="1" customWidth="1"/>
    <col min="7416" max="7418" width="9.28515625" style="5" bestFit="1" customWidth="1"/>
    <col min="7419" max="7420" width="14.85546875" style="5" bestFit="1" customWidth="1"/>
    <col min="7421" max="7422" width="9.28515625" style="5" bestFit="1" customWidth="1"/>
    <col min="7423" max="7423" width="16.140625" style="5" bestFit="1" customWidth="1"/>
    <col min="7424" max="7427" width="9.28515625" style="5" bestFit="1" customWidth="1"/>
    <col min="7428" max="7430" width="6" style="5" bestFit="1" customWidth="1"/>
    <col min="7431" max="7667" width="11.42578125" style="5"/>
    <col min="7668" max="7668" width="40" style="5" bestFit="1" customWidth="1"/>
    <col min="7669" max="7669" width="11.28515625" style="5" bestFit="1" customWidth="1"/>
    <col min="7670" max="7671" width="8.85546875" style="5" bestFit="1" customWidth="1"/>
    <col min="7672" max="7674" width="9.28515625" style="5" bestFit="1" customWidth="1"/>
    <col min="7675" max="7676" width="14.85546875" style="5" bestFit="1" customWidth="1"/>
    <col min="7677" max="7678" width="9.28515625" style="5" bestFit="1" customWidth="1"/>
    <col min="7679" max="7679" width="16.140625" style="5" bestFit="1" customWidth="1"/>
    <col min="7680" max="7683" width="9.28515625" style="5" bestFit="1" customWidth="1"/>
    <col min="7684" max="7686" width="6" style="5" bestFit="1" customWidth="1"/>
    <col min="7687" max="7923" width="11.42578125" style="5"/>
    <col min="7924" max="7924" width="40" style="5" bestFit="1" customWidth="1"/>
    <col min="7925" max="7925" width="11.28515625" style="5" bestFit="1" customWidth="1"/>
    <col min="7926" max="7927" width="8.85546875" style="5" bestFit="1" customWidth="1"/>
    <col min="7928" max="7930" width="9.28515625" style="5" bestFit="1" customWidth="1"/>
    <col min="7931" max="7932" width="14.85546875" style="5" bestFit="1" customWidth="1"/>
    <col min="7933" max="7934" width="9.28515625" style="5" bestFit="1" customWidth="1"/>
    <col min="7935" max="7935" width="16.140625" style="5" bestFit="1" customWidth="1"/>
    <col min="7936" max="7939" width="9.28515625" style="5" bestFit="1" customWidth="1"/>
    <col min="7940" max="7942" width="6" style="5" bestFit="1" customWidth="1"/>
    <col min="7943" max="8179" width="11.42578125" style="5"/>
    <col min="8180" max="8180" width="40" style="5" bestFit="1" customWidth="1"/>
    <col min="8181" max="8181" width="11.28515625" style="5" bestFit="1" customWidth="1"/>
    <col min="8182" max="8183" width="8.85546875" style="5" bestFit="1" customWidth="1"/>
    <col min="8184" max="8186" width="9.28515625" style="5" bestFit="1" customWidth="1"/>
    <col min="8187" max="8188" width="14.85546875" style="5" bestFit="1" customWidth="1"/>
    <col min="8189" max="8190" width="9.28515625" style="5" bestFit="1" customWidth="1"/>
    <col min="8191" max="8191" width="16.140625" style="5" bestFit="1" customWidth="1"/>
    <col min="8192" max="8195" width="9.28515625" style="5" bestFit="1" customWidth="1"/>
    <col min="8196" max="8198" width="6" style="5" bestFit="1" customWidth="1"/>
    <col min="8199" max="8435" width="11.42578125" style="5"/>
    <col min="8436" max="8436" width="40" style="5" bestFit="1" customWidth="1"/>
    <col min="8437" max="8437" width="11.28515625" style="5" bestFit="1" customWidth="1"/>
    <col min="8438" max="8439" width="8.85546875" style="5" bestFit="1" customWidth="1"/>
    <col min="8440" max="8442" width="9.28515625" style="5" bestFit="1" customWidth="1"/>
    <col min="8443" max="8444" width="14.85546875" style="5" bestFit="1" customWidth="1"/>
    <col min="8445" max="8446" width="9.28515625" style="5" bestFit="1" customWidth="1"/>
    <col min="8447" max="8447" width="16.140625" style="5" bestFit="1" customWidth="1"/>
    <col min="8448" max="8451" width="9.28515625" style="5" bestFit="1" customWidth="1"/>
    <col min="8452" max="8454" width="6" style="5" bestFit="1" customWidth="1"/>
    <col min="8455" max="8691" width="11.42578125" style="5"/>
    <col min="8692" max="8692" width="40" style="5" bestFit="1" customWidth="1"/>
    <col min="8693" max="8693" width="11.28515625" style="5" bestFit="1" customWidth="1"/>
    <col min="8694" max="8695" width="8.85546875" style="5" bestFit="1" customWidth="1"/>
    <col min="8696" max="8698" width="9.28515625" style="5" bestFit="1" customWidth="1"/>
    <col min="8699" max="8700" width="14.85546875" style="5" bestFit="1" customWidth="1"/>
    <col min="8701" max="8702" width="9.28515625" style="5" bestFit="1" customWidth="1"/>
    <col min="8703" max="8703" width="16.140625" style="5" bestFit="1" customWidth="1"/>
    <col min="8704" max="8707" width="9.28515625" style="5" bestFit="1" customWidth="1"/>
    <col min="8708" max="8710" width="6" style="5" bestFit="1" customWidth="1"/>
    <col min="8711" max="8947" width="11.42578125" style="5"/>
    <col min="8948" max="8948" width="40" style="5" bestFit="1" customWidth="1"/>
    <col min="8949" max="8949" width="11.28515625" style="5" bestFit="1" customWidth="1"/>
    <col min="8950" max="8951" width="8.85546875" style="5" bestFit="1" customWidth="1"/>
    <col min="8952" max="8954" width="9.28515625" style="5" bestFit="1" customWidth="1"/>
    <col min="8955" max="8956" width="14.85546875" style="5" bestFit="1" customWidth="1"/>
    <col min="8957" max="8958" width="9.28515625" style="5" bestFit="1" customWidth="1"/>
    <col min="8959" max="8959" width="16.140625" style="5" bestFit="1" customWidth="1"/>
    <col min="8960" max="8963" width="9.28515625" style="5" bestFit="1" customWidth="1"/>
    <col min="8964" max="8966" width="6" style="5" bestFit="1" customWidth="1"/>
    <col min="8967" max="9203" width="11.42578125" style="5"/>
    <col min="9204" max="9204" width="40" style="5" bestFit="1" customWidth="1"/>
    <col min="9205" max="9205" width="11.28515625" style="5" bestFit="1" customWidth="1"/>
    <col min="9206" max="9207" width="8.85546875" style="5" bestFit="1" customWidth="1"/>
    <col min="9208" max="9210" width="9.28515625" style="5" bestFit="1" customWidth="1"/>
    <col min="9211" max="9212" width="14.85546875" style="5" bestFit="1" customWidth="1"/>
    <col min="9213" max="9214" width="9.28515625" style="5" bestFit="1" customWidth="1"/>
    <col min="9215" max="9215" width="16.140625" style="5" bestFit="1" customWidth="1"/>
    <col min="9216" max="9219" width="9.28515625" style="5" bestFit="1" customWidth="1"/>
    <col min="9220" max="9222" width="6" style="5" bestFit="1" customWidth="1"/>
    <col min="9223" max="9459" width="11.42578125" style="5"/>
    <col min="9460" max="9460" width="40" style="5" bestFit="1" customWidth="1"/>
    <col min="9461" max="9461" width="11.28515625" style="5" bestFit="1" customWidth="1"/>
    <col min="9462" max="9463" width="8.85546875" style="5" bestFit="1" customWidth="1"/>
    <col min="9464" max="9466" width="9.28515625" style="5" bestFit="1" customWidth="1"/>
    <col min="9467" max="9468" width="14.85546875" style="5" bestFit="1" customWidth="1"/>
    <col min="9469" max="9470" width="9.28515625" style="5" bestFit="1" customWidth="1"/>
    <col min="9471" max="9471" width="16.140625" style="5" bestFit="1" customWidth="1"/>
    <col min="9472" max="9475" width="9.28515625" style="5" bestFit="1" customWidth="1"/>
    <col min="9476" max="9478" width="6" style="5" bestFit="1" customWidth="1"/>
    <col min="9479" max="9715" width="11.42578125" style="5"/>
    <col min="9716" max="9716" width="40" style="5" bestFit="1" customWidth="1"/>
    <col min="9717" max="9717" width="11.28515625" style="5" bestFit="1" customWidth="1"/>
    <col min="9718" max="9719" width="8.85546875" style="5" bestFit="1" customWidth="1"/>
    <col min="9720" max="9722" width="9.28515625" style="5" bestFit="1" customWidth="1"/>
    <col min="9723" max="9724" width="14.85546875" style="5" bestFit="1" customWidth="1"/>
    <col min="9725" max="9726" width="9.28515625" style="5" bestFit="1" customWidth="1"/>
    <col min="9727" max="9727" width="16.140625" style="5" bestFit="1" customWidth="1"/>
    <col min="9728" max="9731" width="9.28515625" style="5" bestFit="1" customWidth="1"/>
    <col min="9732" max="9734" width="6" style="5" bestFit="1" customWidth="1"/>
    <col min="9735" max="9971" width="11.42578125" style="5"/>
    <col min="9972" max="9972" width="40" style="5" bestFit="1" customWidth="1"/>
    <col min="9973" max="9973" width="11.28515625" style="5" bestFit="1" customWidth="1"/>
    <col min="9974" max="9975" width="8.85546875" style="5" bestFit="1" customWidth="1"/>
    <col min="9976" max="9978" width="9.28515625" style="5" bestFit="1" customWidth="1"/>
    <col min="9979" max="9980" width="14.85546875" style="5" bestFit="1" customWidth="1"/>
    <col min="9981" max="9982" width="9.28515625" style="5" bestFit="1" customWidth="1"/>
    <col min="9983" max="9983" width="16.140625" style="5" bestFit="1" customWidth="1"/>
    <col min="9984" max="9987" width="9.28515625" style="5" bestFit="1" customWidth="1"/>
    <col min="9988" max="9990" width="6" style="5" bestFit="1" customWidth="1"/>
    <col min="9991" max="10227" width="11.42578125" style="5"/>
    <col min="10228" max="10228" width="40" style="5" bestFit="1" customWidth="1"/>
    <col min="10229" max="10229" width="11.28515625" style="5" bestFit="1" customWidth="1"/>
    <col min="10230" max="10231" width="8.85546875" style="5" bestFit="1" customWidth="1"/>
    <col min="10232" max="10234" width="9.28515625" style="5" bestFit="1" customWidth="1"/>
    <col min="10235" max="10236" width="14.85546875" style="5" bestFit="1" customWidth="1"/>
    <col min="10237" max="10238" width="9.28515625" style="5" bestFit="1" customWidth="1"/>
    <col min="10239" max="10239" width="16.140625" style="5" bestFit="1" customWidth="1"/>
    <col min="10240" max="10243" width="9.28515625" style="5" bestFit="1" customWidth="1"/>
    <col min="10244" max="10246" width="6" style="5" bestFit="1" customWidth="1"/>
    <col min="10247" max="10483" width="11.42578125" style="5"/>
    <col min="10484" max="10484" width="40" style="5" bestFit="1" customWidth="1"/>
    <col min="10485" max="10485" width="11.28515625" style="5" bestFit="1" customWidth="1"/>
    <col min="10486" max="10487" width="8.85546875" style="5" bestFit="1" customWidth="1"/>
    <col min="10488" max="10490" width="9.28515625" style="5" bestFit="1" customWidth="1"/>
    <col min="10491" max="10492" width="14.85546875" style="5" bestFit="1" customWidth="1"/>
    <col min="10493" max="10494" width="9.28515625" style="5" bestFit="1" customWidth="1"/>
    <col min="10495" max="10495" width="16.140625" style="5" bestFit="1" customWidth="1"/>
    <col min="10496" max="10499" width="9.28515625" style="5" bestFit="1" customWidth="1"/>
    <col min="10500" max="10502" width="6" style="5" bestFit="1" customWidth="1"/>
    <col min="10503" max="10739" width="11.42578125" style="5"/>
    <col min="10740" max="10740" width="40" style="5" bestFit="1" customWidth="1"/>
    <col min="10741" max="10741" width="11.28515625" style="5" bestFit="1" customWidth="1"/>
    <col min="10742" max="10743" width="8.85546875" style="5" bestFit="1" customWidth="1"/>
    <col min="10744" max="10746" width="9.28515625" style="5" bestFit="1" customWidth="1"/>
    <col min="10747" max="10748" width="14.85546875" style="5" bestFit="1" customWidth="1"/>
    <col min="10749" max="10750" width="9.28515625" style="5" bestFit="1" customWidth="1"/>
    <col min="10751" max="10751" width="16.140625" style="5" bestFit="1" customWidth="1"/>
    <col min="10752" max="10755" width="9.28515625" style="5" bestFit="1" customWidth="1"/>
    <col min="10756" max="10758" width="6" style="5" bestFit="1" customWidth="1"/>
    <col min="10759" max="10995" width="11.42578125" style="5"/>
    <col min="10996" max="10996" width="40" style="5" bestFit="1" customWidth="1"/>
    <col min="10997" max="10997" width="11.28515625" style="5" bestFit="1" customWidth="1"/>
    <col min="10998" max="10999" width="8.85546875" style="5" bestFit="1" customWidth="1"/>
    <col min="11000" max="11002" width="9.28515625" style="5" bestFit="1" customWidth="1"/>
    <col min="11003" max="11004" width="14.85546875" style="5" bestFit="1" customWidth="1"/>
    <col min="11005" max="11006" width="9.28515625" style="5" bestFit="1" customWidth="1"/>
    <col min="11007" max="11007" width="16.140625" style="5" bestFit="1" customWidth="1"/>
    <col min="11008" max="11011" width="9.28515625" style="5" bestFit="1" customWidth="1"/>
    <col min="11012" max="11014" width="6" style="5" bestFit="1" customWidth="1"/>
    <col min="11015" max="11251" width="11.42578125" style="5"/>
    <col min="11252" max="11252" width="40" style="5" bestFit="1" customWidth="1"/>
    <col min="11253" max="11253" width="11.28515625" style="5" bestFit="1" customWidth="1"/>
    <col min="11254" max="11255" width="8.85546875" style="5" bestFit="1" customWidth="1"/>
    <col min="11256" max="11258" width="9.28515625" style="5" bestFit="1" customWidth="1"/>
    <col min="11259" max="11260" width="14.85546875" style="5" bestFit="1" customWidth="1"/>
    <col min="11261" max="11262" width="9.28515625" style="5" bestFit="1" customWidth="1"/>
    <col min="11263" max="11263" width="16.140625" style="5" bestFit="1" customWidth="1"/>
    <col min="11264" max="11267" width="9.28515625" style="5" bestFit="1" customWidth="1"/>
    <col min="11268" max="11270" width="6" style="5" bestFit="1" customWidth="1"/>
    <col min="11271" max="11507" width="11.42578125" style="5"/>
    <col min="11508" max="11508" width="40" style="5" bestFit="1" customWidth="1"/>
    <col min="11509" max="11509" width="11.28515625" style="5" bestFit="1" customWidth="1"/>
    <col min="11510" max="11511" width="8.85546875" style="5" bestFit="1" customWidth="1"/>
    <col min="11512" max="11514" width="9.28515625" style="5" bestFit="1" customWidth="1"/>
    <col min="11515" max="11516" width="14.85546875" style="5" bestFit="1" customWidth="1"/>
    <col min="11517" max="11518" width="9.28515625" style="5" bestFit="1" customWidth="1"/>
    <col min="11519" max="11519" width="16.140625" style="5" bestFit="1" customWidth="1"/>
    <col min="11520" max="11523" width="9.28515625" style="5" bestFit="1" customWidth="1"/>
    <col min="11524" max="11526" width="6" style="5" bestFit="1" customWidth="1"/>
    <col min="11527" max="11763" width="11.42578125" style="5"/>
    <col min="11764" max="11764" width="40" style="5" bestFit="1" customWidth="1"/>
    <col min="11765" max="11765" width="11.28515625" style="5" bestFit="1" customWidth="1"/>
    <col min="11766" max="11767" width="8.85546875" style="5" bestFit="1" customWidth="1"/>
    <col min="11768" max="11770" width="9.28515625" style="5" bestFit="1" customWidth="1"/>
    <col min="11771" max="11772" width="14.85546875" style="5" bestFit="1" customWidth="1"/>
    <col min="11773" max="11774" width="9.28515625" style="5" bestFit="1" customWidth="1"/>
    <col min="11775" max="11775" width="16.140625" style="5" bestFit="1" customWidth="1"/>
    <col min="11776" max="11779" width="9.28515625" style="5" bestFit="1" customWidth="1"/>
    <col min="11780" max="11782" width="6" style="5" bestFit="1" customWidth="1"/>
    <col min="11783" max="12019" width="11.42578125" style="5"/>
    <col min="12020" max="12020" width="40" style="5" bestFit="1" customWidth="1"/>
    <col min="12021" max="12021" width="11.28515625" style="5" bestFit="1" customWidth="1"/>
    <col min="12022" max="12023" width="8.85546875" style="5" bestFit="1" customWidth="1"/>
    <col min="12024" max="12026" width="9.28515625" style="5" bestFit="1" customWidth="1"/>
    <col min="12027" max="12028" width="14.85546875" style="5" bestFit="1" customWidth="1"/>
    <col min="12029" max="12030" width="9.28515625" style="5" bestFit="1" customWidth="1"/>
    <col min="12031" max="12031" width="16.140625" style="5" bestFit="1" customWidth="1"/>
    <col min="12032" max="12035" width="9.28515625" style="5" bestFit="1" customWidth="1"/>
    <col min="12036" max="12038" width="6" style="5" bestFit="1" customWidth="1"/>
    <col min="12039" max="12275" width="11.42578125" style="5"/>
    <col min="12276" max="12276" width="40" style="5" bestFit="1" customWidth="1"/>
    <col min="12277" max="12277" width="11.28515625" style="5" bestFit="1" customWidth="1"/>
    <col min="12278" max="12279" width="8.85546875" style="5" bestFit="1" customWidth="1"/>
    <col min="12280" max="12282" width="9.28515625" style="5" bestFit="1" customWidth="1"/>
    <col min="12283" max="12284" width="14.85546875" style="5" bestFit="1" customWidth="1"/>
    <col min="12285" max="12286" width="9.28515625" style="5" bestFit="1" customWidth="1"/>
    <col min="12287" max="12287" width="16.140625" style="5" bestFit="1" customWidth="1"/>
    <col min="12288" max="12291" width="9.28515625" style="5" bestFit="1" customWidth="1"/>
    <col min="12292" max="12294" width="6" style="5" bestFit="1" customWidth="1"/>
    <col min="12295" max="12531" width="11.42578125" style="5"/>
    <col min="12532" max="12532" width="40" style="5" bestFit="1" customWidth="1"/>
    <col min="12533" max="12533" width="11.28515625" style="5" bestFit="1" customWidth="1"/>
    <col min="12534" max="12535" width="8.85546875" style="5" bestFit="1" customWidth="1"/>
    <col min="12536" max="12538" width="9.28515625" style="5" bestFit="1" customWidth="1"/>
    <col min="12539" max="12540" width="14.85546875" style="5" bestFit="1" customWidth="1"/>
    <col min="12541" max="12542" width="9.28515625" style="5" bestFit="1" customWidth="1"/>
    <col min="12543" max="12543" width="16.140625" style="5" bestFit="1" customWidth="1"/>
    <col min="12544" max="12547" width="9.28515625" style="5" bestFit="1" customWidth="1"/>
    <col min="12548" max="12550" width="6" style="5" bestFit="1" customWidth="1"/>
    <col min="12551" max="12787" width="11.42578125" style="5"/>
    <col min="12788" max="12788" width="40" style="5" bestFit="1" customWidth="1"/>
    <col min="12789" max="12789" width="11.28515625" style="5" bestFit="1" customWidth="1"/>
    <col min="12790" max="12791" width="8.85546875" style="5" bestFit="1" customWidth="1"/>
    <col min="12792" max="12794" width="9.28515625" style="5" bestFit="1" customWidth="1"/>
    <col min="12795" max="12796" width="14.85546875" style="5" bestFit="1" customWidth="1"/>
    <col min="12797" max="12798" width="9.28515625" style="5" bestFit="1" customWidth="1"/>
    <col min="12799" max="12799" width="16.140625" style="5" bestFit="1" customWidth="1"/>
    <col min="12800" max="12803" width="9.28515625" style="5" bestFit="1" customWidth="1"/>
    <col min="12804" max="12806" width="6" style="5" bestFit="1" customWidth="1"/>
    <col min="12807" max="13043" width="11.42578125" style="5"/>
    <col min="13044" max="13044" width="40" style="5" bestFit="1" customWidth="1"/>
    <col min="13045" max="13045" width="11.28515625" style="5" bestFit="1" customWidth="1"/>
    <col min="13046" max="13047" width="8.85546875" style="5" bestFit="1" customWidth="1"/>
    <col min="13048" max="13050" width="9.28515625" style="5" bestFit="1" customWidth="1"/>
    <col min="13051" max="13052" width="14.85546875" style="5" bestFit="1" customWidth="1"/>
    <col min="13053" max="13054" width="9.28515625" style="5" bestFit="1" customWidth="1"/>
    <col min="13055" max="13055" width="16.140625" style="5" bestFit="1" customWidth="1"/>
    <col min="13056" max="13059" width="9.28515625" style="5" bestFit="1" customWidth="1"/>
    <col min="13060" max="13062" width="6" style="5" bestFit="1" customWidth="1"/>
    <col min="13063" max="13299" width="11.42578125" style="5"/>
    <col min="13300" max="13300" width="40" style="5" bestFit="1" customWidth="1"/>
    <col min="13301" max="13301" width="11.28515625" style="5" bestFit="1" customWidth="1"/>
    <col min="13302" max="13303" width="8.85546875" style="5" bestFit="1" customWidth="1"/>
    <col min="13304" max="13306" width="9.28515625" style="5" bestFit="1" customWidth="1"/>
    <col min="13307" max="13308" width="14.85546875" style="5" bestFit="1" customWidth="1"/>
    <col min="13309" max="13310" width="9.28515625" style="5" bestFit="1" customWidth="1"/>
    <col min="13311" max="13311" width="16.140625" style="5" bestFit="1" customWidth="1"/>
    <col min="13312" max="13315" width="9.28515625" style="5" bestFit="1" customWidth="1"/>
    <col min="13316" max="13318" width="6" style="5" bestFit="1" customWidth="1"/>
    <col min="13319" max="13555" width="11.42578125" style="5"/>
    <col min="13556" max="13556" width="40" style="5" bestFit="1" customWidth="1"/>
    <col min="13557" max="13557" width="11.28515625" style="5" bestFit="1" customWidth="1"/>
    <col min="13558" max="13559" width="8.85546875" style="5" bestFit="1" customWidth="1"/>
    <col min="13560" max="13562" width="9.28515625" style="5" bestFit="1" customWidth="1"/>
    <col min="13563" max="13564" width="14.85546875" style="5" bestFit="1" customWidth="1"/>
    <col min="13565" max="13566" width="9.28515625" style="5" bestFit="1" customWidth="1"/>
    <col min="13567" max="13567" width="16.140625" style="5" bestFit="1" customWidth="1"/>
    <col min="13568" max="13571" width="9.28515625" style="5" bestFit="1" customWidth="1"/>
    <col min="13572" max="13574" width="6" style="5" bestFit="1" customWidth="1"/>
    <col min="13575" max="13811" width="11.42578125" style="5"/>
    <col min="13812" max="13812" width="40" style="5" bestFit="1" customWidth="1"/>
    <col min="13813" max="13813" width="11.28515625" style="5" bestFit="1" customWidth="1"/>
    <col min="13814" max="13815" width="8.85546875" style="5" bestFit="1" customWidth="1"/>
    <col min="13816" max="13818" width="9.28515625" style="5" bestFit="1" customWidth="1"/>
    <col min="13819" max="13820" width="14.85546875" style="5" bestFit="1" customWidth="1"/>
    <col min="13821" max="13822" width="9.28515625" style="5" bestFit="1" customWidth="1"/>
    <col min="13823" max="13823" width="16.140625" style="5" bestFit="1" customWidth="1"/>
    <col min="13824" max="13827" width="9.28515625" style="5" bestFit="1" customWidth="1"/>
    <col min="13828" max="13830" width="6" style="5" bestFit="1" customWidth="1"/>
    <col min="13831" max="14067" width="11.42578125" style="5"/>
    <col min="14068" max="14068" width="40" style="5" bestFit="1" customWidth="1"/>
    <col min="14069" max="14069" width="11.28515625" style="5" bestFit="1" customWidth="1"/>
    <col min="14070" max="14071" width="8.85546875" style="5" bestFit="1" customWidth="1"/>
    <col min="14072" max="14074" width="9.28515625" style="5" bestFit="1" customWidth="1"/>
    <col min="14075" max="14076" width="14.85546875" style="5" bestFit="1" customWidth="1"/>
    <col min="14077" max="14078" width="9.28515625" style="5" bestFit="1" customWidth="1"/>
    <col min="14079" max="14079" width="16.140625" style="5" bestFit="1" customWidth="1"/>
    <col min="14080" max="14083" width="9.28515625" style="5" bestFit="1" customWidth="1"/>
    <col min="14084" max="14086" width="6" style="5" bestFit="1" customWidth="1"/>
    <col min="14087" max="14323" width="11.42578125" style="5"/>
    <col min="14324" max="14324" width="40" style="5" bestFit="1" customWidth="1"/>
    <col min="14325" max="14325" width="11.28515625" style="5" bestFit="1" customWidth="1"/>
    <col min="14326" max="14327" width="8.85546875" style="5" bestFit="1" customWidth="1"/>
    <col min="14328" max="14330" width="9.28515625" style="5" bestFit="1" customWidth="1"/>
    <col min="14331" max="14332" width="14.85546875" style="5" bestFit="1" customWidth="1"/>
    <col min="14333" max="14334" width="9.28515625" style="5" bestFit="1" customWidth="1"/>
    <col min="14335" max="14335" width="16.140625" style="5" bestFit="1" customWidth="1"/>
    <col min="14336" max="14339" width="9.28515625" style="5" bestFit="1" customWidth="1"/>
    <col min="14340" max="14342" width="6" style="5" bestFit="1" customWidth="1"/>
    <col min="14343" max="14579" width="11.42578125" style="5"/>
    <col min="14580" max="14580" width="40" style="5" bestFit="1" customWidth="1"/>
    <col min="14581" max="14581" width="11.28515625" style="5" bestFit="1" customWidth="1"/>
    <col min="14582" max="14583" width="8.85546875" style="5" bestFit="1" customWidth="1"/>
    <col min="14584" max="14586" width="9.28515625" style="5" bestFit="1" customWidth="1"/>
    <col min="14587" max="14588" width="14.85546875" style="5" bestFit="1" customWidth="1"/>
    <col min="14589" max="14590" width="9.28515625" style="5" bestFit="1" customWidth="1"/>
    <col min="14591" max="14591" width="16.140625" style="5" bestFit="1" customWidth="1"/>
    <col min="14592" max="14595" width="9.28515625" style="5" bestFit="1" customWidth="1"/>
    <col min="14596" max="14598" width="6" style="5" bestFit="1" customWidth="1"/>
    <col min="14599" max="14835" width="11.42578125" style="5"/>
    <col min="14836" max="14836" width="40" style="5" bestFit="1" customWidth="1"/>
    <col min="14837" max="14837" width="11.28515625" style="5" bestFit="1" customWidth="1"/>
    <col min="14838" max="14839" width="8.85546875" style="5" bestFit="1" customWidth="1"/>
    <col min="14840" max="14842" width="9.28515625" style="5" bestFit="1" customWidth="1"/>
    <col min="14843" max="14844" width="14.85546875" style="5" bestFit="1" customWidth="1"/>
    <col min="14845" max="14846" width="9.28515625" style="5" bestFit="1" customWidth="1"/>
    <col min="14847" max="14847" width="16.140625" style="5" bestFit="1" customWidth="1"/>
    <col min="14848" max="14851" width="9.28515625" style="5" bestFit="1" customWidth="1"/>
    <col min="14852" max="14854" width="6" style="5" bestFit="1" customWidth="1"/>
    <col min="14855" max="15091" width="11.42578125" style="5"/>
    <col min="15092" max="15092" width="40" style="5" bestFit="1" customWidth="1"/>
    <col min="15093" max="15093" width="11.28515625" style="5" bestFit="1" customWidth="1"/>
    <col min="15094" max="15095" width="8.85546875" style="5" bestFit="1" customWidth="1"/>
    <col min="15096" max="15098" width="9.28515625" style="5" bestFit="1" customWidth="1"/>
    <col min="15099" max="15100" width="14.85546875" style="5" bestFit="1" customWidth="1"/>
    <col min="15101" max="15102" width="9.28515625" style="5" bestFit="1" customWidth="1"/>
    <col min="15103" max="15103" width="16.140625" style="5" bestFit="1" customWidth="1"/>
    <col min="15104" max="15107" width="9.28515625" style="5" bestFit="1" customWidth="1"/>
    <col min="15108" max="15110" width="6" style="5" bestFit="1" customWidth="1"/>
    <col min="15111" max="15347" width="11.42578125" style="5"/>
    <col min="15348" max="15348" width="40" style="5" bestFit="1" customWidth="1"/>
    <col min="15349" max="15349" width="11.28515625" style="5" bestFit="1" customWidth="1"/>
    <col min="15350" max="15351" width="8.85546875" style="5" bestFit="1" customWidth="1"/>
    <col min="15352" max="15354" width="9.28515625" style="5" bestFit="1" customWidth="1"/>
    <col min="15355" max="15356" width="14.85546875" style="5" bestFit="1" customWidth="1"/>
    <col min="15357" max="15358" width="9.28515625" style="5" bestFit="1" customWidth="1"/>
    <col min="15359" max="15359" width="16.140625" style="5" bestFit="1" customWidth="1"/>
    <col min="15360" max="15363" width="9.28515625" style="5" bestFit="1" customWidth="1"/>
    <col min="15364" max="15366" width="6" style="5" bestFit="1" customWidth="1"/>
    <col min="15367" max="15603" width="11.42578125" style="5"/>
    <col min="15604" max="15604" width="40" style="5" bestFit="1" customWidth="1"/>
    <col min="15605" max="15605" width="11.28515625" style="5" bestFit="1" customWidth="1"/>
    <col min="15606" max="15607" width="8.85546875" style="5" bestFit="1" customWidth="1"/>
    <col min="15608" max="15610" width="9.28515625" style="5" bestFit="1" customWidth="1"/>
    <col min="15611" max="15612" width="14.85546875" style="5" bestFit="1" customWidth="1"/>
    <col min="15613" max="15614" width="9.28515625" style="5" bestFit="1" customWidth="1"/>
    <col min="15615" max="15615" width="16.140625" style="5" bestFit="1" customWidth="1"/>
    <col min="15616" max="15619" width="9.28515625" style="5" bestFit="1" customWidth="1"/>
    <col min="15620" max="15622" width="6" style="5" bestFit="1" customWidth="1"/>
    <col min="15623" max="15859" width="11.42578125" style="5"/>
    <col min="15860" max="15860" width="40" style="5" bestFit="1" customWidth="1"/>
    <col min="15861" max="15861" width="11.28515625" style="5" bestFit="1" customWidth="1"/>
    <col min="15862" max="15863" width="8.85546875" style="5" bestFit="1" customWidth="1"/>
    <col min="15864" max="15866" width="9.28515625" style="5" bestFit="1" customWidth="1"/>
    <col min="15867" max="15868" width="14.85546875" style="5" bestFit="1" customWidth="1"/>
    <col min="15869" max="15870" width="9.28515625" style="5" bestFit="1" customWidth="1"/>
    <col min="15871" max="15871" width="16.140625" style="5" bestFit="1" customWidth="1"/>
    <col min="15872" max="15875" width="9.28515625" style="5" bestFit="1" customWidth="1"/>
    <col min="15876" max="15878" width="6" style="5" bestFit="1" customWidth="1"/>
    <col min="15879" max="16115" width="11.42578125" style="5"/>
    <col min="16116" max="16116" width="40" style="5" bestFit="1" customWidth="1"/>
    <col min="16117" max="16117" width="11.28515625" style="5" bestFit="1" customWidth="1"/>
    <col min="16118" max="16119" width="8.85546875" style="5" bestFit="1" customWidth="1"/>
    <col min="16120" max="16122" width="9.28515625" style="5" bestFit="1" customWidth="1"/>
    <col min="16123" max="16124" width="14.85546875" style="5" bestFit="1" customWidth="1"/>
    <col min="16125" max="16126" width="9.28515625" style="5" bestFit="1" customWidth="1"/>
    <col min="16127" max="16127" width="16.140625" style="5" bestFit="1" customWidth="1"/>
    <col min="16128" max="16131" width="9.28515625" style="5" bestFit="1" customWidth="1"/>
    <col min="16132" max="16134" width="6" style="5" bestFit="1" customWidth="1"/>
    <col min="16135" max="16384" width="11.42578125" style="5"/>
  </cols>
  <sheetData>
    <row r="1" spans="1:15" ht="24">
      <c r="A1" s="3"/>
      <c r="B1" s="3" t="s">
        <v>16</v>
      </c>
      <c r="C1" s="3" t="s">
        <v>15</v>
      </c>
      <c r="D1" s="3" t="s">
        <v>17</v>
      </c>
      <c r="E1" s="4" t="s">
        <v>37</v>
      </c>
      <c r="F1" s="4" t="s">
        <v>38</v>
      </c>
      <c r="G1" s="4" t="s">
        <v>39</v>
      </c>
    </row>
    <row r="2" spans="1:15">
      <c r="A2" s="5" t="s">
        <v>40</v>
      </c>
      <c r="B2" s="6">
        <v>1480214</v>
      </c>
      <c r="C2" s="6">
        <v>1716941</v>
      </c>
      <c r="D2" s="6">
        <v>1768664</v>
      </c>
      <c r="E2" s="7">
        <f t="shared" ref="E2:E10" si="0">+D2/$D$11</f>
        <v>0.46463200275522115</v>
      </c>
      <c r="F2" s="7">
        <f>+D2/$F$11</f>
        <v>0.53205671616827133</v>
      </c>
      <c r="G2" s="44">
        <v>20</v>
      </c>
    </row>
    <row r="3" spans="1:15">
      <c r="A3" s="5" t="s">
        <v>41</v>
      </c>
      <c r="B3" s="6">
        <v>432006</v>
      </c>
      <c r="C3" s="6">
        <v>494324</v>
      </c>
      <c r="D3" s="6">
        <v>475488</v>
      </c>
      <c r="E3" s="7">
        <f t="shared" si="0"/>
        <v>0.12491176488359269</v>
      </c>
      <c r="F3" s="7"/>
      <c r="G3" s="44">
        <v>0</v>
      </c>
    </row>
    <row r="4" spans="1:15">
      <c r="A4" s="5" t="s">
        <v>42</v>
      </c>
      <c r="B4" s="6">
        <v>772169</v>
      </c>
      <c r="C4" s="6">
        <v>801503</v>
      </c>
      <c r="D4" s="6">
        <v>773927</v>
      </c>
      <c r="E4" s="7">
        <f t="shared" si="0"/>
        <v>0.20331236006179806</v>
      </c>
      <c r="F4" s="7">
        <f>+D4/$F$11</f>
        <v>0.23281587581019444</v>
      </c>
      <c r="G4" s="44">
        <v>10</v>
      </c>
    </row>
    <row r="5" spans="1:15">
      <c r="A5" s="5" t="s">
        <v>43</v>
      </c>
      <c r="B5" s="6">
        <v>341325</v>
      </c>
      <c r="C5" s="6">
        <v>479775</v>
      </c>
      <c r="D5" s="6">
        <v>480932</v>
      </c>
      <c r="E5" s="7">
        <f t="shared" si="0"/>
        <v>0.12634191590323204</v>
      </c>
      <c r="F5" s="7">
        <f>+D5/$F$11</f>
        <v>0.1446759252295739</v>
      </c>
      <c r="G5" s="44">
        <v>10</v>
      </c>
    </row>
    <row r="6" spans="1:15">
      <c r="A6" s="5" t="s">
        <v>44</v>
      </c>
      <c r="B6" s="6">
        <v>293885</v>
      </c>
      <c r="C6" s="6">
        <v>273650</v>
      </c>
      <c r="D6" s="6">
        <v>263140</v>
      </c>
      <c r="E6" s="7">
        <f t="shared" si="0"/>
        <v>6.9127468645830345E-2</v>
      </c>
      <c r="F6" s="7">
        <f>+D6/$F$11</f>
        <v>7.9158847747519551E-2</v>
      </c>
      <c r="G6" s="44">
        <v>5</v>
      </c>
    </row>
    <row r="7" spans="1:15">
      <c r="A7" s="5" t="s">
        <v>45</v>
      </c>
      <c r="B7" s="6">
        <v>41825</v>
      </c>
      <c r="C7" s="6">
        <v>41302</v>
      </c>
      <c r="D7" s="6">
        <v>37490</v>
      </c>
      <c r="E7" s="7">
        <f t="shared" si="0"/>
        <v>9.8487071503085052E-3</v>
      </c>
      <c r="F7" s="7">
        <f>+D7/$F$11</f>
        <v>1.1277894664644328E-2</v>
      </c>
      <c r="G7" s="44">
        <v>10</v>
      </c>
    </row>
    <row r="8" spans="1:15">
      <c r="A8" s="5" t="s">
        <v>46</v>
      </c>
      <c r="B8" s="6">
        <v>69694</v>
      </c>
      <c r="C8" s="6">
        <v>82678</v>
      </c>
      <c r="D8" s="6">
        <v>6901</v>
      </c>
      <c r="E8" s="7">
        <f t="shared" si="0"/>
        <v>1.8129081900314481E-3</v>
      </c>
      <c r="F8" s="7"/>
      <c r="G8" s="44">
        <v>0</v>
      </c>
    </row>
    <row r="9" spans="1:15">
      <c r="A9" s="5" t="s">
        <v>47</v>
      </c>
      <c r="B9" s="6">
        <v>30</v>
      </c>
      <c r="C9" s="6">
        <v>49</v>
      </c>
      <c r="D9" s="6">
        <v>49</v>
      </c>
      <c r="E9" s="7">
        <f t="shared" si="0"/>
        <v>1.2872409985732641E-5</v>
      </c>
      <c r="F9" s="7">
        <f>+D9/$F$11</f>
        <v>1.4740379796414297E-5</v>
      </c>
      <c r="G9" s="44">
        <v>5</v>
      </c>
    </row>
    <row r="10" spans="1:15">
      <c r="A10" s="5" t="s">
        <v>48</v>
      </c>
      <c r="B10" s="6">
        <v>1105</v>
      </c>
      <c r="C10" s="6">
        <v>2935</v>
      </c>
      <c r="D10" s="6">
        <v>0</v>
      </c>
      <c r="E10" s="7">
        <f t="shared" si="0"/>
        <v>0</v>
      </c>
      <c r="F10" s="7"/>
      <c r="G10" s="44">
        <v>0</v>
      </c>
    </row>
    <row r="11" spans="1:15">
      <c r="A11" s="8" t="s">
        <v>49</v>
      </c>
      <c r="B11" s="9">
        <f t="shared" ref="B11:E11" si="1">+SUM(B2:B10)</f>
        <v>3432253</v>
      </c>
      <c r="C11" s="9">
        <f t="shared" si="1"/>
        <v>3893157</v>
      </c>
      <c r="D11" s="9">
        <f t="shared" si="1"/>
        <v>3806591</v>
      </c>
      <c r="E11" s="10">
        <f t="shared" si="1"/>
        <v>1</v>
      </c>
      <c r="F11" s="9">
        <f>+D2+D4+D5+D6+D7+D9</f>
        <v>3324202</v>
      </c>
      <c r="G11" s="11">
        <f>+F2*G2+F4*G4+F5*G5+F6*G6+F7*G7+F9*G9</f>
        <v>14.924699221046131</v>
      </c>
    </row>
    <row r="12" spans="1:15">
      <c r="B12" s="12"/>
      <c r="C12" s="13"/>
      <c r="D12" s="13"/>
      <c r="E12" s="13"/>
    </row>
    <row r="13" spans="1:15" ht="15" customHeight="1">
      <c r="A13" s="82" t="s">
        <v>51</v>
      </c>
      <c r="B13" s="82"/>
      <c r="C13" s="82"/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</row>
    <row r="14" spans="1:15">
      <c r="A14" s="14"/>
      <c r="B14" s="15">
        <v>2007</v>
      </c>
      <c r="C14" s="15">
        <v>2008</v>
      </c>
      <c r="D14" s="15">
        <v>2009</v>
      </c>
      <c r="E14" s="15" t="s">
        <v>52</v>
      </c>
      <c r="F14" s="15" t="s">
        <v>53</v>
      </c>
      <c r="G14" s="15" t="s">
        <v>54</v>
      </c>
      <c r="H14" s="15" t="s">
        <v>55</v>
      </c>
      <c r="I14" s="15" t="s">
        <v>56</v>
      </c>
      <c r="J14" s="15" t="s">
        <v>57</v>
      </c>
      <c r="K14" s="15" t="s">
        <v>58</v>
      </c>
      <c r="L14" s="15" t="s">
        <v>59</v>
      </c>
      <c r="M14" s="15" t="s">
        <v>60</v>
      </c>
      <c r="N14" s="15" t="s">
        <v>61</v>
      </c>
      <c r="O14" s="15" t="s">
        <v>62</v>
      </c>
    </row>
    <row r="16" spans="1:15">
      <c r="A16" s="16" t="s">
        <v>137</v>
      </c>
      <c r="B16" s="17"/>
      <c r="C16" s="17"/>
      <c r="D16" s="17"/>
      <c r="E16" s="18">
        <f>+E17*Supuestos!F6</f>
        <v>219550.69688217723</v>
      </c>
      <c r="F16" s="18">
        <f>+F17*Supuestos!G6</f>
        <v>236761.03203553986</v>
      </c>
      <c r="G16" s="18">
        <f>+G17*Supuestos!H6</f>
        <v>256889.32654094958</v>
      </c>
      <c r="H16" s="18">
        <f>+H17*Supuestos!I6</f>
        <v>275879.54916207556</v>
      </c>
      <c r="I16" s="18">
        <f>+I17*Supuestos!J6</f>
        <v>288983.82774727419</v>
      </c>
      <c r="J16" s="18">
        <f>+J17*Supuestos!K6</f>
        <v>302710.55956526974</v>
      </c>
      <c r="K16" s="18">
        <f>+K17*Supuestos!L6</f>
        <v>317089.31114462012</v>
      </c>
      <c r="L16" s="18">
        <f>+L17*Supuestos!M6</f>
        <v>332151.05342398956</v>
      </c>
      <c r="M16" s="18">
        <f>+M17*Supuestos!N6</f>
        <v>347928.22846162913</v>
      </c>
      <c r="N16" s="18">
        <f>+N17*Supuestos!O6</f>
        <v>364454.81931355654</v>
      </c>
      <c r="O16" s="18">
        <f>+O17*Supuestos!P6</f>
        <v>381766.42323095049</v>
      </c>
    </row>
    <row r="17" spans="1:15">
      <c r="A17" s="19" t="s">
        <v>63</v>
      </c>
      <c r="B17" s="20"/>
      <c r="C17" s="20"/>
      <c r="D17" s="20"/>
      <c r="E17" s="21">
        <v>0.03</v>
      </c>
      <c r="F17" s="21">
        <f>+E17</f>
        <v>0.03</v>
      </c>
      <c r="G17" s="21">
        <f t="shared" ref="G17:O17" si="2">+F17</f>
        <v>0.03</v>
      </c>
      <c r="H17" s="21">
        <f t="shared" si="2"/>
        <v>0.03</v>
      </c>
      <c r="I17" s="21">
        <f t="shared" si="2"/>
        <v>0.03</v>
      </c>
      <c r="J17" s="21">
        <f t="shared" si="2"/>
        <v>0.03</v>
      </c>
      <c r="K17" s="21">
        <f t="shared" si="2"/>
        <v>0.03</v>
      </c>
      <c r="L17" s="21">
        <f t="shared" si="2"/>
        <v>0.03</v>
      </c>
      <c r="M17" s="21">
        <f t="shared" si="2"/>
        <v>0.03</v>
      </c>
      <c r="N17" s="21">
        <f t="shared" si="2"/>
        <v>0.03</v>
      </c>
      <c r="O17" s="21">
        <f t="shared" si="2"/>
        <v>0.03</v>
      </c>
    </row>
    <row r="19" spans="1:15">
      <c r="A19" s="14" t="s">
        <v>64</v>
      </c>
      <c r="B19" s="22"/>
    </row>
    <row r="21" spans="1:15">
      <c r="A21" s="34" t="str">
        <f>+A2</f>
        <v>Edificaciones y construcciones</v>
      </c>
      <c r="B21" s="45"/>
      <c r="C21" s="35"/>
      <c r="D21" s="35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</row>
    <row r="22" spans="1:15">
      <c r="A22" s="37" t="s">
        <v>65</v>
      </c>
      <c r="B22" s="46">
        <v>20</v>
      </c>
      <c r="C22" s="38"/>
      <c r="D22" s="38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</row>
    <row r="23" spans="1:15">
      <c r="A23" s="37" t="s">
        <v>66</v>
      </c>
      <c r="B23" s="47"/>
      <c r="C23" s="39">
        <f>+B2</f>
        <v>1480214</v>
      </c>
      <c r="D23" s="39">
        <f>+C2</f>
        <v>1716941</v>
      </c>
      <c r="E23" s="40">
        <f>+D2</f>
        <v>1768664</v>
      </c>
      <c r="F23" s="40">
        <f>+E23+E24</f>
        <v>1768664</v>
      </c>
      <c r="G23" s="40">
        <f t="shared" ref="G23:O23" si="3">+F23+F24</f>
        <v>1768664</v>
      </c>
      <c r="H23" s="40">
        <f t="shared" si="3"/>
        <v>1768664</v>
      </c>
      <c r="I23" s="40">
        <f t="shared" si="3"/>
        <v>1768664</v>
      </c>
      <c r="J23" s="40">
        <f t="shared" si="3"/>
        <v>1768664</v>
      </c>
      <c r="K23" s="40">
        <f t="shared" si="3"/>
        <v>1768664</v>
      </c>
      <c r="L23" s="40">
        <f t="shared" si="3"/>
        <v>1768664</v>
      </c>
      <c r="M23" s="40">
        <f t="shared" si="3"/>
        <v>1768664</v>
      </c>
      <c r="N23" s="40">
        <f t="shared" si="3"/>
        <v>1768664</v>
      </c>
      <c r="O23" s="40">
        <f t="shared" si="3"/>
        <v>1768664</v>
      </c>
    </row>
    <row r="24" spans="1:15">
      <c r="A24" s="37" t="s">
        <v>67</v>
      </c>
      <c r="B24" s="47"/>
      <c r="C24" s="39">
        <f>+D23-C23</f>
        <v>236727</v>
      </c>
      <c r="D24" s="39">
        <f>+E23-D23</f>
        <v>51723</v>
      </c>
      <c r="E24" s="40">
        <v>0</v>
      </c>
      <c r="F24" s="40">
        <v>0</v>
      </c>
      <c r="G24" s="40">
        <v>0</v>
      </c>
      <c r="H24" s="40">
        <v>0</v>
      </c>
      <c r="I24" s="40">
        <v>0</v>
      </c>
      <c r="J24" s="40">
        <v>0</v>
      </c>
      <c r="K24" s="40">
        <v>0</v>
      </c>
      <c r="L24" s="40">
        <v>0</v>
      </c>
      <c r="M24" s="40">
        <v>0</v>
      </c>
      <c r="N24" s="40">
        <v>0</v>
      </c>
      <c r="O24" s="40">
        <v>0</v>
      </c>
    </row>
    <row r="25" spans="1:15">
      <c r="A25" s="37" t="s">
        <v>68</v>
      </c>
      <c r="B25" s="47"/>
      <c r="C25" s="39">
        <f>574599-509555</f>
        <v>65044</v>
      </c>
      <c r="D25" s="39">
        <f>626916-574599</f>
        <v>52317</v>
      </c>
      <c r="E25" s="40">
        <f t="shared" ref="E25:O25" si="4">+((E24/$B$22/2)+E23/$B$22)</f>
        <v>88433.2</v>
      </c>
      <c r="F25" s="40">
        <f t="shared" si="4"/>
        <v>88433.2</v>
      </c>
      <c r="G25" s="40">
        <f t="shared" si="4"/>
        <v>88433.2</v>
      </c>
      <c r="H25" s="40">
        <f t="shared" si="4"/>
        <v>88433.2</v>
      </c>
      <c r="I25" s="40">
        <f t="shared" si="4"/>
        <v>88433.2</v>
      </c>
      <c r="J25" s="40">
        <f t="shared" si="4"/>
        <v>88433.2</v>
      </c>
      <c r="K25" s="40">
        <f t="shared" si="4"/>
        <v>88433.2</v>
      </c>
      <c r="L25" s="40">
        <f t="shared" si="4"/>
        <v>88433.2</v>
      </c>
      <c r="M25" s="40">
        <f t="shared" si="4"/>
        <v>88433.2</v>
      </c>
      <c r="N25" s="40">
        <f t="shared" si="4"/>
        <v>88433.2</v>
      </c>
      <c r="O25" s="40">
        <f t="shared" si="4"/>
        <v>88433.2</v>
      </c>
    </row>
    <row r="26" spans="1:15">
      <c r="A26" s="41" t="s">
        <v>69</v>
      </c>
      <c r="B26" s="48"/>
      <c r="C26" s="42">
        <v>574599</v>
      </c>
      <c r="D26" s="42">
        <v>626916</v>
      </c>
      <c r="E26" s="43">
        <f>+D26+E25</f>
        <v>715349.2</v>
      </c>
      <c r="F26" s="43">
        <f>+E26+F25</f>
        <v>803782.39999999991</v>
      </c>
      <c r="G26" s="43">
        <f t="shared" ref="G26:O26" si="5">+F26+G25</f>
        <v>892215.59999999986</v>
      </c>
      <c r="H26" s="43">
        <f t="shared" si="5"/>
        <v>980648.79999999981</v>
      </c>
      <c r="I26" s="43">
        <f t="shared" si="5"/>
        <v>1069081.9999999998</v>
      </c>
      <c r="J26" s="43">
        <f t="shared" si="5"/>
        <v>1157515.1999999997</v>
      </c>
      <c r="K26" s="43">
        <f t="shared" si="5"/>
        <v>1245948.3999999997</v>
      </c>
      <c r="L26" s="43">
        <f t="shared" si="5"/>
        <v>1334381.5999999996</v>
      </c>
      <c r="M26" s="43">
        <f t="shared" si="5"/>
        <v>1422814.7999999996</v>
      </c>
      <c r="N26" s="43">
        <f t="shared" si="5"/>
        <v>1511247.9999999995</v>
      </c>
      <c r="O26" s="43">
        <f t="shared" si="5"/>
        <v>1599681.1999999995</v>
      </c>
    </row>
    <row r="27" spans="1:15">
      <c r="B27" s="49"/>
      <c r="C27" s="23"/>
      <c r="D27" s="23"/>
    </row>
    <row r="28" spans="1:15">
      <c r="A28" s="34" t="str">
        <f>+A4</f>
        <v>Maquinaria y Equipo</v>
      </c>
      <c r="B28" s="45"/>
      <c r="C28" s="35"/>
      <c r="D28" s="35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</row>
    <row r="29" spans="1:15">
      <c r="A29" s="37" t="s">
        <v>65</v>
      </c>
      <c r="B29" s="46">
        <v>15</v>
      </c>
      <c r="C29" s="38"/>
      <c r="D29" s="38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</row>
    <row r="30" spans="1:15">
      <c r="A30" s="37" t="s">
        <v>66</v>
      </c>
      <c r="B30" s="47"/>
      <c r="C30" s="39">
        <f>+B4</f>
        <v>772169</v>
      </c>
      <c r="D30" s="39">
        <f>+C4</f>
        <v>801503</v>
      </c>
      <c r="E30" s="40">
        <f>+D4</f>
        <v>773927</v>
      </c>
      <c r="F30" s="40">
        <f t="shared" ref="F30:O30" si="6">+E30+E31</f>
        <v>773927</v>
      </c>
      <c r="G30" s="40">
        <f t="shared" si="6"/>
        <v>773927</v>
      </c>
      <c r="H30" s="40">
        <f t="shared" si="6"/>
        <v>773927</v>
      </c>
      <c r="I30" s="40">
        <f t="shared" si="6"/>
        <v>773927</v>
      </c>
      <c r="J30" s="40">
        <f t="shared" si="6"/>
        <v>773927</v>
      </c>
      <c r="K30" s="40">
        <f t="shared" si="6"/>
        <v>773927</v>
      </c>
      <c r="L30" s="40">
        <f t="shared" si="6"/>
        <v>773927</v>
      </c>
      <c r="M30" s="40">
        <f t="shared" si="6"/>
        <v>773927</v>
      </c>
      <c r="N30" s="40">
        <f t="shared" si="6"/>
        <v>773927</v>
      </c>
      <c r="O30" s="40">
        <f t="shared" si="6"/>
        <v>773927</v>
      </c>
    </row>
    <row r="31" spans="1:15">
      <c r="A31" s="37" t="s">
        <v>67</v>
      </c>
      <c r="B31" s="47"/>
      <c r="C31" s="39">
        <f>+D30-C30</f>
        <v>29334</v>
      </c>
      <c r="D31" s="39">
        <f>+E30-D30</f>
        <v>-27576</v>
      </c>
      <c r="E31" s="40">
        <f t="shared" ref="E31:J31" si="7">+E24</f>
        <v>0</v>
      </c>
      <c r="F31" s="40">
        <f t="shared" si="7"/>
        <v>0</v>
      </c>
      <c r="G31" s="40">
        <f t="shared" si="7"/>
        <v>0</v>
      </c>
      <c r="H31" s="40">
        <f t="shared" si="7"/>
        <v>0</v>
      </c>
      <c r="I31" s="40">
        <f t="shared" si="7"/>
        <v>0</v>
      </c>
      <c r="J31" s="40">
        <f t="shared" si="7"/>
        <v>0</v>
      </c>
      <c r="K31" s="40">
        <f>+K24</f>
        <v>0</v>
      </c>
      <c r="L31" s="40">
        <f>+L24</f>
        <v>0</v>
      </c>
      <c r="M31" s="40">
        <f>+M24</f>
        <v>0</v>
      </c>
      <c r="N31" s="40">
        <f>+N24</f>
        <v>0</v>
      </c>
      <c r="O31" s="40">
        <f>+O24</f>
        <v>0</v>
      </c>
    </row>
    <row r="32" spans="1:15">
      <c r="A32" s="37" t="s">
        <v>68</v>
      </c>
      <c r="B32" s="47"/>
      <c r="C32" s="39">
        <f>447170-450430</f>
        <v>-3260</v>
      </c>
      <c r="D32" s="39">
        <f>453822-447170</f>
        <v>6652</v>
      </c>
      <c r="E32" s="40">
        <f t="shared" ref="E32:O32" si="8">+IF(E30-D33&lt;(E30/$B$29),E30-D33,E30/$B$29)</f>
        <v>51595.133333333331</v>
      </c>
      <c r="F32" s="40">
        <f t="shared" si="8"/>
        <v>51595.133333333331</v>
      </c>
      <c r="G32" s="40">
        <f t="shared" si="8"/>
        <v>51595.133333333331</v>
      </c>
      <c r="H32" s="40">
        <f t="shared" si="8"/>
        <v>51595.133333333331</v>
      </c>
      <c r="I32" s="40">
        <f t="shared" si="8"/>
        <v>51595.133333333331</v>
      </c>
      <c r="J32" s="40">
        <f t="shared" si="8"/>
        <v>51595.133333333331</v>
      </c>
      <c r="K32" s="40">
        <f t="shared" si="8"/>
        <v>10534.200000000186</v>
      </c>
      <c r="L32" s="40">
        <f t="shared" si="8"/>
        <v>0</v>
      </c>
      <c r="M32" s="40">
        <f t="shared" si="8"/>
        <v>0</v>
      </c>
      <c r="N32" s="40">
        <f t="shared" si="8"/>
        <v>0</v>
      </c>
      <c r="O32" s="40">
        <f t="shared" si="8"/>
        <v>0</v>
      </c>
    </row>
    <row r="33" spans="1:15">
      <c r="A33" s="41" t="s">
        <v>69</v>
      </c>
      <c r="B33" s="48"/>
      <c r="C33" s="42">
        <v>447170</v>
      </c>
      <c r="D33" s="42">
        <v>453822</v>
      </c>
      <c r="E33" s="43">
        <f t="shared" ref="E33:O33" si="9">+D33+E32</f>
        <v>505417.1333333333</v>
      </c>
      <c r="F33" s="43">
        <f t="shared" si="9"/>
        <v>557012.2666666666</v>
      </c>
      <c r="G33" s="43">
        <f t="shared" si="9"/>
        <v>608607.39999999991</v>
      </c>
      <c r="H33" s="43">
        <f t="shared" si="9"/>
        <v>660202.53333333321</v>
      </c>
      <c r="I33" s="43">
        <f t="shared" si="9"/>
        <v>711797.66666666651</v>
      </c>
      <c r="J33" s="43">
        <f t="shared" si="9"/>
        <v>763392.79999999981</v>
      </c>
      <c r="K33" s="43">
        <f t="shared" si="9"/>
        <v>773927</v>
      </c>
      <c r="L33" s="43">
        <f t="shared" si="9"/>
        <v>773927</v>
      </c>
      <c r="M33" s="43">
        <f t="shared" si="9"/>
        <v>773927</v>
      </c>
      <c r="N33" s="43">
        <f t="shared" si="9"/>
        <v>773927</v>
      </c>
      <c r="O33" s="43">
        <f t="shared" si="9"/>
        <v>773927</v>
      </c>
    </row>
    <row r="34" spans="1:15">
      <c r="B34" s="49"/>
      <c r="C34" s="23"/>
      <c r="D34" s="23"/>
    </row>
    <row r="35" spans="1:15">
      <c r="A35" s="34" t="str">
        <f>+A5</f>
        <v>Equipo de oficina</v>
      </c>
      <c r="B35" s="45"/>
      <c r="C35" s="35"/>
      <c r="D35" s="35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</row>
    <row r="36" spans="1:15">
      <c r="A36" s="37" t="s">
        <v>65</v>
      </c>
      <c r="B36" s="46">
        <v>10</v>
      </c>
      <c r="C36" s="38"/>
      <c r="D36" s="38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</row>
    <row r="37" spans="1:15">
      <c r="A37" s="37" t="s">
        <v>66</v>
      </c>
      <c r="B37" s="47"/>
      <c r="C37" s="39">
        <f>+B5</f>
        <v>341325</v>
      </c>
      <c r="D37" s="39">
        <f>+C5</f>
        <v>479775</v>
      </c>
      <c r="E37" s="40">
        <f>+D5</f>
        <v>480932</v>
      </c>
      <c r="F37" s="40">
        <f t="shared" ref="F37:O37" si="10">+E37+E38</f>
        <v>480932</v>
      </c>
      <c r="G37" s="40">
        <f t="shared" si="10"/>
        <v>480932</v>
      </c>
      <c r="H37" s="40">
        <f t="shared" si="10"/>
        <v>480932</v>
      </c>
      <c r="I37" s="40">
        <f t="shared" si="10"/>
        <v>480932</v>
      </c>
      <c r="J37" s="40">
        <f t="shared" si="10"/>
        <v>480932</v>
      </c>
      <c r="K37" s="40">
        <f t="shared" si="10"/>
        <v>480932</v>
      </c>
      <c r="L37" s="40">
        <f t="shared" si="10"/>
        <v>480932</v>
      </c>
      <c r="M37" s="40">
        <f t="shared" si="10"/>
        <v>480932</v>
      </c>
      <c r="N37" s="40">
        <f t="shared" si="10"/>
        <v>480932</v>
      </c>
      <c r="O37" s="40">
        <f t="shared" si="10"/>
        <v>480932</v>
      </c>
    </row>
    <row r="38" spans="1:15">
      <c r="A38" s="37" t="s">
        <v>67</v>
      </c>
      <c r="B38" s="47"/>
      <c r="C38" s="39">
        <f>+D37-C37</f>
        <v>138450</v>
      </c>
      <c r="D38" s="39">
        <f>+E37-D37</f>
        <v>1157</v>
      </c>
      <c r="E38" s="40">
        <f t="shared" ref="E38:O38" si="11">+E31</f>
        <v>0</v>
      </c>
      <c r="F38" s="40">
        <f t="shared" si="11"/>
        <v>0</v>
      </c>
      <c r="G38" s="40">
        <f t="shared" si="11"/>
        <v>0</v>
      </c>
      <c r="H38" s="40">
        <f t="shared" si="11"/>
        <v>0</v>
      </c>
      <c r="I38" s="40">
        <f t="shared" si="11"/>
        <v>0</v>
      </c>
      <c r="J38" s="40">
        <f t="shared" si="11"/>
        <v>0</v>
      </c>
      <c r="K38" s="40">
        <f t="shared" si="11"/>
        <v>0</v>
      </c>
      <c r="L38" s="40">
        <f t="shared" si="11"/>
        <v>0</v>
      </c>
      <c r="M38" s="40">
        <f t="shared" si="11"/>
        <v>0</v>
      </c>
      <c r="N38" s="40">
        <f t="shared" si="11"/>
        <v>0</v>
      </c>
      <c r="O38" s="40">
        <f t="shared" si="11"/>
        <v>0</v>
      </c>
    </row>
    <row r="39" spans="1:15">
      <c r="A39" s="37" t="s">
        <v>68</v>
      </c>
      <c r="B39" s="47"/>
      <c r="C39" s="39">
        <f>303061-290625</f>
        <v>12436</v>
      </c>
      <c r="D39" s="39">
        <f>315842-303061</f>
        <v>12781</v>
      </c>
      <c r="E39" s="40">
        <f>+IF(E37-D40&lt;(E37/$B$36),E37-D40,E37/$B$36)</f>
        <v>48093.2</v>
      </c>
      <c r="F39" s="40">
        <f t="shared" ref="F39:H39" si="12">+IF(F37-E40&lt;(F37/$B$36),F37-E40,F37/$B$36)</f>
        <v>48093.2</v>
      </c>
      <c r="G39" s="40">
        <f t="shared" si="12"/>
        <v>48093.2</v>
      </c>
      <c r="H39" s="40">
        <f t="shared" si="12"/>
        <v>20810.399999999965</v>
      </c>
      <c r="I39" s="40">
        <f t="shared" ref="I39:J39" si="13">+IF(I37-H40&lt;(I37/$B$36),I37-H40,I37/$B$36)</f>
        <v>0</v>
      </c>
      <c r="J39" s="40">
        <f t="shared" si="13"/>
        <v>0</v>
      </c>
      <c r="K39" s="40">
        <f t="shared" ref="K39:L39" si="14">+IF(K37-J40&lt;(K37/$B$36),K37-J40,K37/$B$36)</f>
        <v>0</v>
      </c>
      <c r="L39" s="40">
        <f t="shared" si="14"/>
        <v>0</v>
      </c>
      <c r="M39" s="40">
        <f t="shared" ref="M39:N39" si="15">+IF(M37-L40&lt;(M37/$B$36),M37-L40,M37/$B$36)</f>
        <v>0</v>
      </c>
      <c r="N39" s="40">
        <f t="shared" si="15"/>
        <v>0</v>
      </c>
      <c r="O39" s="40">
        <f t="shared" ref="O39" si="16">+IF(O37-N40&lt;(O37/$B$36),O37-N40,O37/$B$36)</f>
        <v>0</v>
      </c>
    </row>
    <row r="40" spans="1:15">
      <c r="A40" s="41" t="s">
        <v>69</v>
      </c>
      <c r="B40" s="48"/>
      <c r="C40" s="42">
        <v>303061</v>
      </c>
      <c r="D40" s="42">
        <v>315842</v>
      </c>
      <c r="E40" s="43">
        <f t="shared" ref="E40:O40" si="17">+D40+E39</f>
        <v>363935.2</v>
      </c>
      <c r="F40" s="43">
        <f t="shared" si="17"/>
        <v>412028.4</v>
      </c>
      <c r="G40" s="43">
        <f t="shared" si="17"/>
        <v>460121.60000000003</v>
      </c>
      <c r="H40" s="43">
        <f t="shared" si="17"/>
        <v>480932</v>
      </c>
      <c r="I40" s="43">
        <f t="shared" si="17"/>
        <v>480932</v>
      </c>
      <c r="J40" s="43">
        <f t="shared" si="17"/>
        <v>480932</v>
      </c>
      <c r="K40" s="43">
        <f t="shared" si="17"/>
        <v>480932</v>
      </c>
      <c r="L40" s="43">
        <f t="shared" si="17"/>
        <v>480932</v>
      </c>
      <c r="M40" s="43">
        <f t="shared" si="17"/>
        <v>480932</v>
      </c>
      <c r="N40" s="43">
        <f t="shared" si="17"/>
        <v>480932</v>
      </c>
      <c r="O40" s="43">
        <f t="shared" si="17"/>
        <v>480932</v>
      </c>
    </row>
    <row r="41" spans="1:15">
      <c r="B41" s="49"/>
      <c r="C41" s="23"/>
      <c r="D41" s="23"/>
    </row>
    <row r="42" spans="1:15">
      <c r="A42" s="34" t="str">
        <f>+A6</f>
        <v>Equipos de comunicación y computo</v>
      </c>
      <c r="B42" s="45"/>
      <c r="C42" s="35"/>
      <c r="D42" s="35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</row>
    <row r="43" spans="1:15">
      <c r="A43" s="37" t="s">
        <v>65</v>
      </c>
      <c r="B43" s="46">
        <v>10</v>
      </c>
      <c r="C43" s="38"/>
      <c r="D43" s="38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</row>
    <row r="44" spans="1:15">
      <c r="A44" s="37" t="s">
        <v>66</v>
      </c>
      <c r="B44" s="47"/>
      <c r="C44" s="39">
        <f>+B6</f>
        <v>293885</v>
      </c>
      <c r="D44" s="39">
        <f>+C6</f>
        <v>273650</v>
      </c>
      <c r="E44" s="40">
        <f>+D6</f>
        <v>263140</v>
      </c>
      <c r="F44" s="40">
        <f t="shared" ref="F44:O44" si="18">+E44+E45</f>
        <v>263140</v>
      </c>
      <c r="G44" s="40">
        <f t="shared" si="18"/>
        <v>263140</v>
      </c>
      <c r="H44" s="40">
        <f t="shared" si="18"/>
        <v>263140</v>
      </c>
      <c r="I44" s="40">
        <f t="shared" si="18"/>
        <v>263140</v>
      </c>
      <c r="J44" s="40">
        <f t="shared" si="18"/>
        <v>263140</v>
      </c>
      <c r="K44" s="40">
        <f t="shared" si="18"/>
        <v>263140</v>
      </c>
      <c r="L44" s="40">
        <f t="shared" si="18"/>
        <v>263140</v>
      </c>
      <c r="M44" s="40">
        <f t="shared" si="18"/>
        <v>263140</v>
      </c>
      <c r="N44" s="40">
        <f t="shared" si="18"/>
        <v>263140</v>
      </c>
      <c r="O44" s="40">
        <f t="shared" si="18"/>
        <v>263140</v>
      </c>
    </row>
    <row r="45" spans="1:15">
      <c r="A45" s="37" t="s">
        <v>67</v>
      </c>
      <c r="B45" s="47"/>
      <c r="C45" s="39">
        <f>+D44-C44</f>
        <v>-20235</v>
      </c>
      <c r="D45" s="39">
        <f>+E44-D44</f>
        <v>-10510</v>
      </c>
      <c r="E45" s="40">
        <f>+E38</f>
        <v>0</v>
      </c>
      <c r="F45" s="40">
        <v>0</v>
      </c>
      <c r="G45" s="40">
        <v>0</v>
      </c>
      <c r="H45" s="40">
        <v>0</v>
      </c>
      <c r="I45" s="40">
        <v>0</v>
      </c>
      <c r="J45" s="40">
        <v>0</v>
      </c>
      <c r="K45" s="40">
        <v>0</v>
      </c>
      <c r="L45" s="40">
        <v>0</v>
      </c>
      <c r="M45" s="40">
        <v>0</v>
      </c>
      <c r="N45" s="40">
        <v>0</v>
      </c>
      <c r="O45" s="40">
        <v>0</v>
      </c>
    </row>
    <row r="46" spans="1:15">
      <c r="A46" s="37" t="s">
        <v>68</v>
      </c>
      <c r="B46" s="47"/>
      <c r="C46" s="39">
        <f>205530-222701</f>
        <v>-17171</v>
      </c>
      <c r="D46" s="39">
        <f>203970-205530</f>
        <v>-1560</v>
      </c>
      <c r="E46" s="40">
        <f>+IF(E44-D47&lt;(E44/$B$43),E44-D47,E44/$B$43)</f>
        <v>26314</v>
      </c>
      <c r="F46" s="40">
        <f t="shared" ref="F46:G46" si="19">+IF(F44-E47&lt;(F44/$B$43),F44-E47,F44/$B$43)</f>
        <v>26314</v>
      </c>
      <c r="G46" s="40">
        <f t="shared" si="19"/>
        <v>6542</v>
      </c>
      <c r="H46" s="40">
        <f t="shared" ref="H46:I46" si="20">+IF(H44-G47&lt;(H44/$B$43),H44-G47,H44/$B$43)</f>
        <v>0</v>
      </c>
      <c r="I46" s="40">
        <f t="shared" si="20"/>
        <v>0</v>
      </c>
      <c r="J46" s="40">
        <f t="shared" ref="J46:K46" si="21">+IF(J44-I47&lt;(J44/$B$43),J44-I47,J44/$B$43)</f>
        <v>0</v>
      </c>
      <c r="K46" s="40">
        <f t="shared" si="21"/>
        <v>0</v>
      </c>
      <c r="L46" s="40">
        <f t="shared" ref="L46:M46" si="22">+IF(L44-K47&lt;(L44/$B$43),L44-K47,L44/$B$43)</f>
        <v>0</v>
      </c>
      <c r="M46" s="40">
        <f t="shared" si="22"/>
        <v>0</v>
      </c>
      <c r="N46" s="40">
        <f t="shared" ref="N46:O46" si="23">+IF(N44-M47&lt;(N44/$B$43),N44-M47,N44/$B$43)</f>
        <v>0</v>
      </c>
      <c r="O46" s="40">
        <f t="shared" si="23"/>
        <v>0</v>
      </c>
    </row>
    <row r="47" spans="1:15">
      <c r="A47" s="41" t="s">
        <v>69</v>
      </c>
      <c r="B47" s="48"/>
      <c r="C47" s="42">
        <v>205530</v>
      </c>
      <c r="D47" s="42">
        <v>203970</v>
      </c>
      <c r="E47" s="43">
        <f t="shared" ref="E47:O47" si="24">+D47+E46</f>
        <v>230284</v>
      </c>
      <c r="F47" s="43">
        <f t="shared" si="24"/>
        <v>256598</v>
      </c>
      <c r="G47" s="43">
        <f t="shared" si="24"/>
        <v>263140</v>
      </c>
      <c r="H47" s="43">
        <f t="shared" si="24"/>
        <v>263140</v>
      </c>
      <c r="I47" s="43">
        <f t="shared" si="24"/>
        <v>263140</v>
      </c>
      <c r="J47" s="43">
        <f t="shared" si="24"/>
        <v>263140</v>
      </c>
      <c r="K47" s="43">
        <f t="shared" si="24"/>
        <v>263140</v>
      </c>
      <c r="L47" s="43">
        <f t="shared" si="24"/>
        <v>263140</v>
      </c>
      <c r="M47" s="43">
        <f t="shared" si="24"/>
        <v>263140</v>
      </c>
      <c r="N47" s="43">
        <f t="shared" si="24"/>
        <v>263140</v>
      </c>
      <c r="O47" s="43">
        <f t="shared" si="24"/>
        <v>263140</v>
      </c>
    </row>
    <row r="48" spans="1:15">
      <c r="B48" s="49"/>
      <c r="C48" s="23"/>
      <c r="D48" s="23"/>
    </row>
    <row r="49" spans="1:15 16384:16384">
      <c r="A49" s="34" t="str">
        <f>+A7</f>
        <v>Equipo de transporte</v>
      </c>
      <c r="B49" s="45"/>
      <c r="C49" s="35"/>
      <c r="D49" s="35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</row>
    <row r="50" spans="1:15 16384:16384">
      <c r="A50" s="37" t="s">
        <v>65</v>
      </c>
      <c r="B50" s="46">
        <v>10</v>
      </c>
      <c r="C50" s="38"/>
      <c r="D50" s="38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</row>
    <row r="51" spans="1:15 16384:16384">
      <c r="A51" s="37" t="s">
        <v>66</v>
      </c>
      <c r="B51" s="47"/>
      <c r="C51" s="39">
        <f>+B7</f>
        <v>41825</v>
      </c>
      <c r="D51" s="39">
        <f>+C7</f>
        <v>41302</v>
      </c>
      <c r="E51" s="40">
        <f>+D7</f>
        <v>37490</v>
      </c>
      <c r="F51" s="40">
        <f>+E51+E52</f>
        <v>37490</v>
      </c>
      <c r="G51" s="40">
        <f>+F51+F52</f>
        <v>37490</v>
      </c>
      <c r="H51" s="40">
        <f>+G51+G52</f>
        <v>37490</v>
      </c>
      <c r="I51" s="40">
        <f>+H51+H52</f>
        <v>37490</v>
      </c>
      <c r="J51" s="40">
        <f>+I51+I52</f>
        <v>37490</v>
      </c>
      <c r="K51" s="40">
        <f>+J51+J52</f>
        <v>37490</v>
      </c>
      <c r="L51" s="40">
        <f>+K51+K52</f>
        <v>37490</v>
      </c>
      <c r="M51" s="40">
        <f>+L51+L52</f>
        <v>37490</v>
      </c>
      <c r="N51" s="40">
        <f>+M51+M52</f>
        <v>37490</v>
      </c>
      <c r="O51" s="40">
        <f>+N51+N52</f>
        <v>37490</v>
      </c>
      <c r="XFD51" s="40"/>
    </row>
    <row r="52" spans="1:15 16384:16384">
      <c r="A52" s="37" t="s">
        <v>67</v>
      </c>
      <c r="B52" s="47"/>
      <c r="C52" s="39">
        <f>+D51-C51</f>
        <v>-523</v>
      </c>
      <c r="D52" s="39">
        <f>+E51-D51</f>
        <v>-3812</v>
      </c>
      <c r="E52" s="40">
        <f>+E45</f>
        <v>0</v>
      </c>
      <c r="F52" s="40">
        <f>+F45</f>
        <v>0</v>
      </c>
      <c r="G52" s="40">
        <f>+G45</f>
        <v>0</v>
      </c>
      <c r="H52" s="40">
        <f>+H45</f>
        <v>0</v>
      </c>
      <c r="I52" s="40">
        <f>+I45</f>
        <v>0</v>
      </c>
      <c r="J52" s="40">
        <f>+J45</f>
        <v>0</v>
      </c>
      <c r="K52" s="40">
        <f>+K45</f>
        <v>0</v>
      </c>
      <c r="L52" s="40">
        <f>+L45</f>
        <v>0</v>
      </c>
      <c r="M52" s="40">
        <f>+M45</f>
        <v>0</v>
      </c>
      <c r="N52" s="40">
        <f>+N45</f>
        <v>0</v>
      </c>
      <c r="O52" s="40">
        <f>+O45</f>
        <v>0</v>
      </c>
      <c r="XFD52" s="40"/>
    </row>
    <row r="53" spans="1:15 16384:16384">
      <c r="A53" s="37" t="s">
        <v>68</v>
      </c>
      <c r="B53" s="47"/>
      <c r="C53" s="39">
        <f>30453-28894</f>
        <v>1559</v>
      </c>
      <c r="D53" s="39">
        <f>28823-30453</f>
        <v>-1630</v>
      </c>
      <c r="E53" s="40">
        <f>+IF(E51-D54&lt;(E51/$B$50),E51-D54,E51/$B$50)</f>
        <v>3749</v>
      </c>
      <c r="F53" s="40">
        <f>+IF(F51-E54&lt;(F51/$B$50),F51-E54,F51/$B$50)</f>
        <v>3749</v>
      </c>
      <c r="G53" s="40">
        <f>+IF(G51-F54&lt;(G51/$B$50),G51-F54,G51/$B$50)</f>
        <v>1169</v>
      </c>
      <c r="H53" s="40">
        <f>+IF(H51-G54&lt;(H51/$B$50),H51-G54,H51/$B$50)</f>
        <v>0</v>
      </c>
      <c r="I53" s="40">
        <f>+IF(I51-H54&lt;(I51/$B$50),I51-H54,I51/$B$50)</f>
        <v>0</v>
      </c>
      <c r="J53" s="40">
        <f>+IF(J51-I54&lt;(J51/$B$50),J51-I54,J51/$B$50)</f>
        <v>0</v>
      </c>
      <c r="K53" s="40">
        <f>+IF(K51-J54&lt;(K51/$B$50),K51-J54,K51/$B$50)</f>
        <v>0</v>
      </c>
      <c r="L53" s="40">
        <f>+IF(L51-K54&lt;(L51/$B$50),L51-K54,L51/$B$50)</f>
        <v>0</v>
      </c>
      <c r="M53" s="40">
        <f>+IF(M51-L54&lt;(M51/$B$50),M51-L54,M51/$B$50)</f>
        <v>0</v>
      </c>
      <c r="N53" s="40">
        <f>+IF(N51-M54&lt;(N51/$B$50),N51-M54,N51/$B$50)</f>
        <v>0</v>
      </c>
      <c r="O53" s="40">
        <f>+IF(O51-N54&lt;(O51/$B$50),O51-N54,O51/$B$50)</f>
        <v>0</v>
      </c>
      <c r="XFD53" s="40"/>
    </row>
    <row r="54" spans="1:15 16384:16384">
      <c r="A54" s="41" t="s">
        <v>69</v>
      </c>
      <c r="B54" s="48"/>
      <c r="C54" s="42">
        <v>30453</v>
      </c>
      <c r="D54" s="42">
        <v>28823</v>
      </c>
      <c r="E54" s="43">
        <f t="shared" ref="E54:O54" si="25">+D54+E53</f>
        <v>32572</v>
      </c>
      <c r="F54" s="43">
        <f t="shared" si="25"/>
        <v>36321</v>
      </c>
      <c r="G54" s="43">
        <f t="shared" si="25"/>
        <v>37490</v>
      </c>
      <c r="H54" s="43">
        <f t="shared" si="25"/>
        <v>37490</v>
      </c>
      <c r="I54" s="43">
        <f t="shared" si="25"/>
        <v>37490</v>
      </c>
      <c r="J54" s="43">
        <f t="shared" si="25"/>
        <v>37490</v>
      </c>
      <c r="K54" s="43">
        <f t="shared" si="25"/>
        <v>37490</v>
      </c>
      <c r="L54" s="43">
        <f t="shared" si="25"/>
        <v>37490</v>
      </c>
      <c r="M54" s="43">
        <f t="shared" si="25"/>
        <v>37490</v>
      </c>
      <c r="N54" s="43">
        <f t="shared" si="25"/>
        <v>37490</v>
      </c>
      <c r="O54" s="43">
        <f t="shared" si="25"/>
        <v>37490</v>
      </c>
      <c r="XFD54" s="43"/>
    </row>
    <row r="55" spans="1:15 16384:16384">
      <c r="B55" s="49"/>
      <c r="C55" s="23"/>
      <c r="D55" s="23"/>
    </row>
    <row r="56" spans="1:15 16384:16384">
      <c r="A56" s="34" t="s">
        <v>50</v>
      </c>
      <c r="B56" s="45"/>
      <c r="C56" s="35"/>
      <c r="D56" s="35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</row>
    <row r="57" spans="1:15 16384:16384">
      <c r="A57" s="37" t="s">
        <v>65</v>
      </c>
      <c r="B57" s="46">
        <f>+G11</f>
        <v>14.924699221046131</v>
      </c>
      <c r="C57" s="38"/>
      <c r="D57" s="38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</row>
    <row r="58" spans="1:15 16384:16384">
      <c r="A58" s="37" t="s">
        <v>66</v>
      </c>
      <c r="B58" s="47"/>
      <c r="C58" s="39"/>
      <c r="D58" s="39"/>
      <c r="E58" s="40">
        <f t="shared" ref="E58:O58" si="26">+D58+D59</f>
        <v>0</v>
      </c>
      <c r="F58" s="40">
        <f t="shared" si="26"/>
        <v>219550.69688217723</v>
      </c>
      <c r="G58" s="40">
        <f t="shared" si="26"/>
        <v>456311.72891771712</v>
      </c>
      <c r="H58" s="40">
        <f t="shared" si="26"/>
        <v>713201.05545866676</v>
      </c>
      <c r="I58" s="40">
        <f t="shared" si="26"/>
        <v>989080.60462074238</v>
      </c>
      <c r="J58" s="40">
        <f t="shared" si="26"/>
        <v>1278064.4323680166</v>
      </c>
      <c r="K58" s="40">
        <f t="shared" si="26"/>
        <v>1580774.9919332862</v>
      </c>
      <c r="L58" s="40">
        <f t="shared" si="26"/>
        <v>1897864.3030779064</v>
      </c>
      <c r="M58" s="40">
        <f t="shared" si="26"/>
        <v>2230015.3565018959</v>
      </c>
      <c r="N58" s="40">
        <f t="shared" si="26"/>
        <v>2577943.5849635252</v>
      </c>
      <c r="O58" s="40">
        <f t="shared" si="26"/>
        <v>2942398.4042770816</v>
      </c>
    </row>
    <row r="59" spans="1:15 16384:16384">
      <c r="A59" s="37" t="s">
        <v>67</v>
      </c>
      <c r="B59" s="47"/>
      <c r="C59" s="39"/>
      <c r="D59" s="39">
        <v>0</v>
      </c>
      <c r="E59" s="40">
        <f>+E16</f>
        <v>219550.69688217723</v>
      </c>
      <c r="F59" s="40">
        <f t="shared" ref="F59:N59" si="27">+F16</f>
        <v>236761.03203553986</v>
      </c>
      <c r="G59" s="40">
        <f t="shared" si="27"/>
        <v>256889.32654094958</v>
      </c>
      <c r="H59" s="40">
        <f t="shared" si="27"/>
        <v>275879.54916207556</v>
      </c>
      <c r="I59" s="40">
        <f t="shared" si="27"/>
        <v>288983.82774727419</v>
      </c>
      <c r="J59" s="40">
        <f t="shared" si="27"/>
        <v>302710.55956526974</v>
      </c>
      <c r="K59" s="40">
        <f t="shared" si="27"/>
        <v>317089.31114462012</v>
      </c>
      <c r="L59" s="40">
        <f t="shared" si="27"/>
        <v>332151.05342398956</v>
      </c>
      <c r="M59" s="40">
        <f t="shared" si="27"/>
        <v>347928.22846162913</v>
      </c>
      <c r="N59" s="40">
        <f t="shared" si="27"/>
        <v>364454.81931355654</v>
      </c>
      <c r="O59" s="40">
        <f>+O16</f>
        <v>381766.42323095049</v>
      </c>
    </row>
    <row r="60" spans="1:15 16384:16384">
      <c r="A60" s="37" t="s">
        <v>68</v>
      </c>
      <c r="B60" s="47"/>
      <c r="C60" s="39"/>
      <c r="D60" s="39">
        <f>+((D59/$B$57/2)+D58/$B$57)</f>
        <v>0</v>
      </c>
      <c r="E60" s="40">
        <f>+((E59/$B$57/2)+E58/$B$57)</f>
        <v>7355.280452572767</v>
      </c>
      <c r="F60" s="40">
        <f>+((F59/$B$57/2)+F58/$B$57)</f>
        <v>22642.413618856182</v>
      </c>
      <c r="G60" s="40">
        <f>+((G59/$B$57/2)+G58/$B$57)</f>
        <v>39180.447359608763</v>
      </c>
      <c r="H60" s="40">
        <f>+((H59/$B$57/2)+H58/$B$57)</f>
        <v>57029.010597377033</v>
      </c>
      <c r="I60" s="40">
        <f>+((I59/$B$57/2)+I58/$B$57)</f>
        <v>75952.788173839173</v>
      </c>
      <c r="J60" s="40">
        <f>+((J59/$B$57/2)+J58/$B$57)</f>
        <v>95775.445185183286</v>
      </c>
      <c r="K60" s="40">
        <f>+((K59/$B$57/2)+K58/$B$57)</f>
        <v>116539.67840456624</v>
      </c>
      <c r="L60" s="40">
        <f>+((L59/$B$57/2)+L58/$B$57)</f>
        <v>138290.21270186987</v>
      </c>
      <c r="M60" s="40">
        <f>+((M59/$B$57/2)+M58/$B$57)</f>
        <v>161073.89737829543</v>
      </c>
      <c r="N60" s="40">
        <f>+((N59/$B$57/2)+N58/$B$57)</f>
        <v>184939.80707685123</v>
      </c>
      <c r="O60" s="40">
        <f>+((O59/$B$57/2)+O58/$B$57)</f>
        <v>209939.3474860884</v>
      </c>
    </row>
    <row r="61" spans="1:15 16384:16384">
      <c r="A61" s="41" t="s">
        <v>69</v>
      </c>
      <c r="B61" s="48"/>
      <c r="C61" s="42"/>
      <c r="D61" s="42">
        <f t="shared" ref="D61:O61" si="28">+C61+D60</f>
        <v>0</v>
      </c>
      <c r="E61" s="43">
        <f t="shared" si="28"/>
        <v>7355.280452572767</v>
      </c>
      <c r="F61" s="43">
        <f t="shared" si="28"/>
        <v>29997.694071428949</v>
      </c>
      <c r="G61" s="43">
        <f t="shared" si="28"/>
        <v>69178.141431037715</v>
      </c>
      <c r="H61" s="43">
        <f t="shared" si="28"/>
        <v>126207.15202841474</v>
      </c>
      <c r="I61" s="43">
        <f t="shared" si="28"/>
        <v>202159.94020225393</v>
      </c>
      <c r="J61" s="43">
        <f t="shared" si="28"/>
        <v>297935.38538743719</v>
      </c>
      <c r="K61" s="43">
        <f t="shared" si="28"/>
        <v>414475.06379200344</v>
      </c>
      <c r="L61" s="43">
        <f t="shared" si="28"/>
        <v>552765.27649387333</v>
      </c>
      <c r="M61" s="43">
        <f t="shared" si="28"/>
        <v>713839.17387216876</v>
      </c>
      <c r="N61" s="43">
        <f t="shared" si="28"/>
        <v>898778.98094902001</v>
      </c>
      <c r="O61" s="43">
        <f t="shared" si="28"/>
        <v>1108718.3284351085</v>
      </c>
    </row>
    <row r="62" spans="1:15 16384:16384">
      <c r="B62" s="13"/>
    </row>
    <row r="63" spans="1:15 16384:16384">
      <c r="B63" s="13"/>
    </row>
    <row r="64" spans="1:15 16384:16384">
      <c r="A64" s="25" t="s">
        <v>70</v>
      </c>
      <c r="B64" s="13"/>
      <c r="D64" s="13"/>
    </row>
    <row r="66" spans="1:15">
      <c r="A66" s="5" t="s">
        <v>66</v>
      </c>
      <c r="B66" s="24"/>
      <c r="C66" s="24">
        <f>+B68</f>
        <v>2541884</v>
      </c>
      <c r="D66" s="24">
        <f>+C68</f>
        <v>3893157</v>
      </c>
      <c r="E66" s="13">
        <f>+D68</f>
        <v>3787373.4</v>
      </c>
      <c r="F66" s="13">
        <f>+E68</f>
        <v>4006924.0968821771</v>
      </c>
      <c r="G66" s="13">
        <f t="shared" ref="G66:O66" si="29">+F68</f>
        <v>4243685.1289177164</v>
      </c>
      <c r="H66" s="13">
        <f t="shared" si="29"/>
        <v>4500574.4554586662</v>
      </c>
      <c r="I66" s="13">
        <f t="shared" si="29"/>
        <v>4776454.0046207421</v>
      </c>
      <c r="J66" s="13">
        <f t="shared" si="29"/>
        <v>5065437.8323680162</v>
      </c>
      <c r="K66" s="13">
        <f t="shared" si="29"/>
        <v>5368148.3919332856</v>
      </c>
      <c r="L66" s="13">
        <f t="shared" si="29"/>
        <v>5685237.7030779058</v>
      </c>
      <c r="M66" s="13">
        <f t="shared" si="29"/>
        <v>6017388.7565018954</v>
      </c>
      <c r="N66" s="13">
        <f t="shared" si="29"/>
        <v>6365316.9849635242</v>
      </c>
      <c r="O66" s="13">
        <f t="shared" si="29"/>
        <v>6729771.804277081</v>
      </c>
    </row>
    <row r="67" spans="1:15">
      <c r="A67" s="5" t="s">
        <v>71</v>
      </c>
      <c r="B67" s="24"/>
      <c r="C67" s="24">
        <f>+C68-C66</f>
        <v>1351273</v>
      </c>
      <c r="D67" s="24">
        <f>+D59+D24+D31+D38+D45+D52</f>
        <v>10982</v>
      </c>
      <c r="E67" s="13">
        <f>+E16</f>
        <v>219550.69688217723</v>
      </c>
      <c r="F67" s="13">
        <f t="shared" ref="F67:M67" si="30">+F59</f>
        <v>236761.03203553986</v>
      </c>
      <c r="G67" s="13">
        <f t="shared" si="30"/>
        <v>256889.32654094958</v>
      </c>
      <c r="H67" s="13">
        <f t="shared" si="30"/>
        <v>275879.54916207556</v>
      </c>
      <c r="I67" s="13">
        <f t="shared" si="30"/>
        <v>288983.82774727419</v>
      </c>
      <c r="J67" s="13">
        <f t="shared" si="30"/>
        <v>302710.55956526974</v>
      </c>
      <c r="K67" s="13">
        <f t="shared" si="30"/>
        <v>317089.31114462012</v>
      </c>
      <c r="L67" s="13">
        <f t="shared" si="30"/>
        <v>332151.05342398956</v>
      </c>
      <c r="M67" s="13">
        <f t="shared" si="30"/>
        <v>347928.22846162913</v>
      </c>
      <c r="N67" s="13">
        <f>+N59</f>
        <v>364454.81931355654</v>
      </c>
      <c r="O67" s="13">
        <f>+O59</f>
        <v>381766.42323095049</v>
      </c>
    </row>
    <row r="68" spans="1:15">
      <c r="A68" s="5" t="s">
        <v>72</v>
      </c>
      <c r="B68" s="24">
        <v>2541884</v>
      </c>
      <c r="C68" s="24">
        <v>3893157</v>
      </c>
      <c r="D68" s="24">
        <f>+D66+D67-'[1]Income statement'!J68</f>
        <v>3787373.4</v>
      </c>
      <c r="E68" s="13">
        <f>+E66+E67</f>
        <v>4006924.0968821771</v>
      </c>
      <c r="F68" s="13">
        <f>+F66+F67</f>
        <v>4243685.1289177164</v>
      </c>
      <c r="G68" s="13">
        <f t="shared" ref="G68:O68" si="31">+G66+G67</f>
        <v>4500574.4554586662</v>
      </c>
      <c r="H68" s="13">
        <f t="shared" si="31"/>
        <v>4776454.0046207421</v>
      </c>
      <c r="I68" s="13">
        <f t="shared" si="31"/>
        <v>5065437.8323680162</v>
      </c>
      <c r="J68" s="13">
        <f t="shared" si="31"/>
        <v>5368148.3919332856</v>
      </c>
      <c r="K68" s="13">
        <f t="shared" si="31"/>
        <v>5685237.7030779058</v>
      </c>
      <c r="L68" s="13">
        <f t="shared" si="31"/>
        <v>6017388.7565018954</v>
      </c>
      <c r="M68" s="13">
        <f t="shared" si="31"/>
        <v>6365316.9849635242</v>
      </c>
      <c r="N68" s="13">
        <f t="shared" si="31"/>
        <v>6729771.804277081</v>
      </c>
      <c r="O68" s="13">
        <f t="shared" si="31"/>
        <v>7111538.2275080318</v>
      </c>
    </row>
    <row r="69" spans="1:15">
      <c r="B69" s="23"/>
      <c r="C69" s="23"/>
      <c r="D69" s="23"/>
    </row>
    <row r="70" spans="1:15">
      <c r="A70" s="5" t="s">
        <v>73</v>
      </c>
      <c r="B70" s="24"/>
      <c r="C70" s="24">
        <f>+B72</f>
        <v>1502230</v>
      </c>
      <c r="D70" s="24">
        <f>+C72</f>
        <v>1560841</v>
      </c>
      <c r="E70" s="13">
        <f>+D72</f>
        <v>1613158</v>
      </c>
      <c r="F70" s="13">
        <f>+E72</f>
        <v>1838697.8137859062</v>
      </c>
      <c r="G70" s="13">
        <f t="shared" ref="G70:O70" si="32">+F72</f>
        <v>2079524.7607380957</v>
      </c>
      <c r="H70" s="13">
        <f t="shared" si="32"/>
        <v>2314537.7414310379</v>
      </c>
      <c r="I70" s="13">
        <f t="shared" si="32"/>
        <v>2532405.4853617484</v>
      </c>
      <c r="J70" s="13">
        <f t="shared" si="32"/>
        <v>2748386.6068689208</v>
      </c>
      <c r="K70" s="13">
        <f t="shared" si="32"/>
        <v>2984190.3853874374</v>
      </c>
      <c r="L70" s="13">
        <f t="shared" si="32"/>
        <v>3199697.4637920037</v>
      </c>
      <c r="M70" s="13">
        <f t="shared" si="32"/>
        <v>3426420.8764938735</v>
      </c>
      <c r="N70" s="13">
        <f t="shared" si="32"/>
        <v>3675927.9738721689</v>
      </c>
      <c r="O70" s="13">
        <f t="shared" si="32"/>
        <v>3949300.98094902</v>
      </c>
    </row>
    <row r="71" spans="1:15">
      <c r="A71" s="5" t="s">
        <v>35</v>
      </c>
      <c r="B71" s="24"/>
      <c r="C71" s="24">
        <f>1560841-1502230</f>
        <v>58611</v>
      </c>
      <c r="D71" s="24">
        <f>+D25</f>
        <v>52317</v>
      </c>
      <c r="E71" s="13">
        <f>+E25+E32+E39+E46+E53+E60</f>
        <v>225539.8137859061</v>
      </c>
      <c r="F71" s="13">
        <f>+F25+F32+F39+F46+F53+F60</f>
        <v>240826.94695218949</v>
      </c>
      <c r="G71" s="13">
        <f t="shared" ref="G71:O71" si="33">+G25+G32+G39+G46+G53+G60</f>
        <v>235012.9806929421</v>
      </c>
      <c r="H71" s="13">
        <f t="shared" si="33"/>
        <v>217867.7439307103</v>
      </c>
      <c r="I71" s="13">
        <f t="shared" si="33"/>
        <v>215981.12150717247</v>
      </c>
      <c r="J71" s="13">
        <f t="shared" si="33"/>
        <v>235803.7785185166</v>
      </c>
      <c r="K71" s="13">
        <f t="shared" si="33"/>
        <v>215507.07840456642</v>
      </c>
      <c r="L71" s="13">
        <f t="shared" si="33"/>
        <v>226723.41270186985</v>
      </c>
      <c r="M71" s="13">
        <f t="shared" si="33"/>
        <v>249507.09737829544</v>
      </c>
      <c r="N71" s="13">
        <f t="shared" si="33"/>
        <v>273373.00707685121</v>
      </c>
      <c r="O71" s="13">
        <f t="shared" si="33"/>
        <v>298372.54748608841</v>
      </c>
    </row>
    <row r="72" spans="1:15">
      <c r="A72" s="5" t="s">
        <v>74</v>
      </c>
      <c r="B72" s="24">
        <v>1502230</v>
      </c>
      <c r="C72" s="24">
        <f>+C70+C71</f>
        <v>1560841</v>
      </c>
      <c r="D72" s="24">
        <f>+D70+D71</f>
        <v>1613158</v>
      </c>
      <c r="E72" s="13">
        <f>+E70+E71</f>
        <v>1838697.8137859062</v>
      </c>
      <c r="F72" s="13">
        <f>+F70+F71</f>
        <v>2079524.7607380957</v>
      </c>
      <c r="G72" s="13">
        <f t="shared" ref="G72:O72" si="34">+G70+G71</f>
        <v>2314537.7414310379</v>
      </c>
      <c r="H72" s="13">
        <f t="shared" si="34"/>
        <v>2532405.4853617484</v>
      </c>
      <c r="I72" s="13">
        <f t="shared" si="34"/>
        <v>2748386.6068689208</v>
      </c>
      <c r="J72" s="13">
        <f t="shared" si="34"/>
        <v>2984190.3853874374</v>
      </c>
      <c r="K72" s="13">
        <f t="shared" si="34"/>
        <v>3199697.4637920037</v>
      </c>
      <c r="L72" s="13">
        <f t="shared" si="34"/>
        <v>3426420.8764938735</v>
      </c>
      <c r="M72" s="13">
        <f t="shared" si="34"/>
        <v>3675927.9738721689</v>
      </c>
      <c r="N72" s="13">
        <f t="shared" si="34"/>
        <v>3949300.98094902</v>
      </c>
      <c r="O72" s="13">
        <f t="shared" si="34"/>
        <v>4247673.5284351083</v>
      </c>
    </row>
    <row r="73" spans="1:15">
      <c r="B73" s="23"/>
      <c r="C73" s="23"/>
      <c r="D73" s="23"/>
    </row>
    <row r="74" spans="1:15">
      <c r="A74" s="25" t="s">
        <v>75</v>
      </c>
      <c r="B74" s="24"/>
      <c r="C74" s="24"/>
      <c r="D74" s="24"/>
    </row>
    <row r="75" spans="1:15">
      <c r="A75" s="26" t="s">
        <v>76</v>
      </c>
      <c r="B75" s="27"/>
      <c r="C75" s="27">
        <f t="shared" ref="C75:O75" si="35">+C68</f>
        <v>3893157</v>
      </c>
      <c r="D75" s="27">
        <f t="shared" si="35"/>
        <v>3787373.4</v>
      </c>
      <c r="E75" s="28">
        <f t="shared" si="35"/>
        <v>4006924.0968821771</v>
      </c>
      <c r="F75" s="28">
        <f t="shared" si="35"/>
        <v>4243685.1289177164</v>
      </c>
      <c r="G75" s="28">
        <f t="shared" si="35"/>
        <v>4500574.4554586662</v>
      </c>
      <c r="H75" s="28">
        <f t="shared" si="35"/>
        <v>4776454.0046207421</v>
      </c>
      <c r="I75" s="28">
        <f t="shared" si="35"/>
        <v>5065437.8323680162</v>
      </c>
      <c r="J75" s="28">
        <f t="shared" si="35"/>
        <v>5368148.3919332856</v>
      </c>
      <c r="K75" s="28">
        <f t="shared" si="35"/>
        <v>5685237.7030779058</v>
      </c>
      <c r="L75" s="28">
        <f t="shared" si="35"/>
        <v>6017388.7565018954</v>
      </c>
      <c r="M75" s="28">
        <f t="shared" si="35"/>
        <v>6365316.9849635242</v>
      </c>
      <c r="N75" s="28">
        <f t="shared" si="35"/>
        <v>6729771.804277081</v>
      </c>
      <c r="O75" s="28">
        <f t="shared" si="35"/>
        <v>7111538.2275080318</v>
      </c>
    </row>
    <row r="76" spans="1:15">
      <c r="A76" s="26" t="s">
        <v>36</v>
      </c>
      <c r="B76" s="27"/>
      <c r="C76" s="27">
        <f>+C72</f>
        <v>1560841</v>
      </c>
      <c r="D76" s="27">
        <f>+D72</f>
        <v>1613158</v>
      </c>
      <c r="E76" s="28">
        <f>+E72</f>
        <v>1838697.8137859062</v>
      </c>
      <c r="F76" s="28">
        <f t="shared" ref="F76:O76" si="36">+F72</f>
        <v>2079524.7607380957</v>
      </c>
      <c r="G76" s="28">
        <f t="shared" si="36"/>
        <v>2314537.7414310379</v>
      </c>
      <c r="H76" s="28">
        <f t="shared" si="36"/>
        <v>2532405.4853617484</v>
      </c>
      <c r="I76" s="28">
        <f t="shared" si="36"/>
        <v>2748386.6068689208</v>
      </c>
      <c r="J76" s="28">
        <f t="shared" si="36"/>
        <v>2984190.3853874374</v>
      </c>
      <c r="K76" s="28">
        <f t="shared" si="36"/>
        <v>3199697.4637920037</v>
      </c>
      <c r="L76" s="28">
        <f t="shared" si="36"/>
        <v>3426420.8764938735</v>
      </c>
      <c r="M76" s="28">
        <f t="shared" si="36"/>
        <v>3675927.9738721689</v>
      </c>
      <c r="N76" s="28">
        <f t="shared" si="36"/>
        <v>3949300.98094902</v>
      </c>
      <c r="O76" s="28">
        <f t="shared" si="36"/>
        <v>4247673.5284351083</v>
      </c>
    </row>
    <row r="77" spans="1:15">
      <c r="A77" s="26" t="s">
        <v>77</v>
      </c>
      <c r="B77" s="27"/>
      <c r="C77" s="27">
        <f t="shared" ref="C77:O77" si="37">+C75-C76</f>
        <v>2332316</v>
      </c>
      <c r="D77" s="27">
        <f t="shared" si="37"/>
        <v>2174215.4</v>
      </c>
      <c r="E77" s="28">
        <f t="shared" si="37"/>
        <v>2168226.2830962706</v>
      </c>
      <c r="F77" s="28">
        <f t="shared" si="37"/>
        <v>2164160.3681796207</v>
      </c>
      <c r="G77" s="28">
        <f t="shared" si="37"/>
        <v>2186036.7140276283</v>
      </c>
      <c r="H77" s="28">
        <f t="shared" si="37"/>
        <v>2244048.5192589937</v>
      </c>
      <c r="I77" s="28">
        <f t="shared" si="37"/>
        <v>2317051.2254990954</v>
      </c>
      <c r="J77" s="28">
        <f t="shared" si="37"/>
        <v>2383958.0065458482</v>
      </c>
      <c r="K77" s="28">
        <f t="shared" si="37"/>
        <v>2485540.2392859021</v>
      </c>
      <c r="L77" s="28">
        <f t="shared" si="37"/>
        <v>2590967.8800080218</v>
      </c>
      <c r="M77" s="28">
        <f t="shared" si="37"/>
        <v>2689389.0110913552</v>
      </c>
      <c r="N77" s="28">
        <f t="shared" si="37"/>
        <v>2780470.823328061</v>
      </c>
      <c r="O77" s="28">
        <f t="shared" si="37"/>
        <v>2863864.6990729235</v>
      </c>
    </row>
    <row r="78" spans="1:15">
      <c r="B78" s="23"/>
      <c r="C78" s="23"/>
      <c r="D78" s="23"/>
    </row>
    <row r="79" spans="1:15">
      <c r="A79" s="25" t="s">
        <v>78</v>
      </c>
      <c r="B79" s="23"/>
      <c r="C79" s="23"/>
      <c r="D79" s="23"/>
      <c r="E79" s="13"/>
    </row>
    <row r="80" spans="1:15">
      <c r="A80" s="29" t="s">
        <v>79</v>
      </c>
      <c r="B80" s="27"/>
      <c r="C80" s="27"/>
      <c r="D80" s="27">
        <f>+D25+D32+D39+D46+D53+D60</f>
        <v>68560</v>
      </c>
      <c r="E80" s="28">
        <f>+E25+E32+E39+E46+E53+E60</f>
        <v>225539.8137859061</v>
      </c>
      <c r="F80" s="28">
        <f t="shared" ref="F80:M80" si="38">+F25+F32+F39+F46+F53+F60</f>
        <v>240826.94695218949</v>
      </c>
      <c r="G80" s="28">
        <f t="shared" si="38"/>
        <v>235012.9806929421</v>
      </c>
      <c r="H80" s="28">
        <f>+H25+H32+H39+H46+H53+H60</f>
        <v>217867.7439307103</v>
      </c>
      <c r="I80" s="28">
        <f t="shared" si="38"/>
        <v>215981.12150717247</v>
      </c>
      <c r="J80" s="28">
        <f t="shared" si="38"/>
        <v>235803.7785185166</v>
      </c>
      <c r="K80" s="28">
        <f>+K25+K32+K39+K46+K53+K60</f>
        <v>215507.07840456642</v>
      </c>
      <c r="L80" s="28">
        <f t="shared" si="38"/>
        <v>226723.41270186985</v>
      </c>
      <c r="M80" s="28">
        <f t="shared" si="38"/>
        <v>249507.09737829544</v>
      </c>
      <c r="N80" s="28">
        <f>+N25+N32+N39+N46+N53+N60</f>
        <v>273373.00707685121</v>
      </c>
      <c r="O80" s="28">
        <f>+O25+O32+O39+O46+O53+O60</f>
        <v>298372.54748608841</v>
      </c>
    </row>
    <row r="81" spans="3:88">
      <c r="C81" s="13"/>
      <c r="D81" s="13"/>
    </row>
    <row r="82" spans="3:88">
      <c r="CJ82" s="30"/>
    </row>
    <row r="83" spans="3:88">
      <c r="CJ83" s="30"/>
    </row>
    <row r="84" spans="3:88">
      <c r="CJ84" s="30"/>
    </row>
    <row r="85" spans="3:88">
      <c r="CJ85" s="30"/>
    </row>
    <row r="86" spans="3:88">
      <c r="CJ86" s="30"/>
    </row>
    <row r="87" spans="3:88">
      <c r="CJ87" s="30"/>
    </row>
    <row r="88" spans="3:88">
      <c r="CJ88" s="30"/>
    </row>
    <row r="89" spans="3:88">
      <c r="CJ89" s="30"/>
    </row>
    <row r="90" spans="3:88">
      <c r="CJ90" s="30"/>
    </row>
    <row r="91" spans="3:88">
      <c r="CJ91" s="30"/>
    </row>
    <row r="92" spans="3:88">
      <c r="CJ92" s="30"/>
    </row>
    <row r="93" spans="3:88">
      <c r="CJ93" s="30"/>
    </row>
    <row r="94" spans="3:88">
      <c r="CJ94" s="30"/>
    </row>
    <row r="95" spans="3:88">
      <c r="CJ95" s="30"/>
    </row>
    <row r="96" spans="3:88">
      <c r="CJ96" s="30"/>
    </row>
    <row r="97" spans="88:88">
      <c r="CJ97" s="30"/>
    </row>
    <row r="98" spans="88:88">
      <c r="CJ98" s="30"/>
    </row>
    <row r="99" spans="88:88">
      <c r="CJ99" s="30"/>
    </row>
    <row r="100" spans="88:88">
      <c r="CJ100" s="30"/>
    </row>
    <row r="101" spans="88:88">
      <c r="CJ101" s="30"/>
    </row>
    <row r="102" spans="88:88">
      <c r="CJ102" s="30"/>
    </row>
    <row r="103" spans="88:88">
      <c r="CJ103" s="30"/>
    </row>
    <row r="104" spans="88:88">
      <c r="CJ104" s="30"/>
    </row>
    <row r="105" spans="88:88">
      <c r="CJ105" s="30"/>
    </row>
    <row r="106" spans="88:88">
      <c r="CJ106" s="30"/>
    </row>
    <row r="107" spans="88:88">
      <c r="CJ107" s="30"/>
    </row>
    <row r="108" spans="88:88">
      <c r="CJ108" s="30"/>
    </row>
    <row r="109" spans="88:88">
      <c r="CJ109" s="30"/>
    </row>
    <row r="110" spans="88:88">
      <c r="CJ110" s="30"/>
    </row>
    <row r="111" spans="88:88">
      <c r="CJ111" s="30"/>
    </row>
    <row r="112" spans="88:88">
      <c r="CJ112" s="30"/>
    </row>
    <row r="113" spans="88:88">
      <c r="CJ113" s="30"/>
    </row>
    <row r="114" spans="88:88">
      <c r="CJ114" s="30"/>
    </row>
    <row r="115" spans="88:88">
      <c r="CJ115" s="30"/>
    </row>
    <row r="116" spans="88:88">
      <c r="CJ116" s="30"/>
    </row>
    <row r="117" spans="88:88">
      <c r="CJ117" s="30"/>
    </row>
    <row r="118" spans="88:88">
      <c r="CJ118" s="30"/>
    </row>
    <row r="119" spans="88:88">
      <c r="CJ119" s="30"/>
    </row>
    <row r="120" spans="88:88">
      <c r="CJ120" s="30"/>
    </row>
    <row r="121" spans="88:88">
      <c r="CJ121" s="30"/>
    </row>
    <row r="122" spans="88:88">
      <c r="CJ122" s="30"/>
    </row>
    <row r="123" spans="88:88">
      <c r="CJ123" s="30"/>
    </row>
    <row r="124" spans="88:88">
      <c r="CJ124" s="30"/>
    </row>
    <row r="125" spans="88:88">
      <c r="CJ125" s="30"/>
    </row>
    <row r="126" spans="88:88">
      <c r="CJ126" s="30"/>
    </row>
    <row r="127" spans="88:88">
      <c r="CJ127" s="30"/>
    </row>
    <row r="128" spans="88:88">
      <c r="CJ128" s="30"/>
    </row>
    <row r="129" spans="88:94">
      <c r="CJ129" s="31"/>
      <c r="CK129" s="32"/>
      <c r="CL129" s="31"/>
      <c r="CM129" s="32"/>
      <c r="CN129" s="31"/>
      <c r="CO129" s="32"/>
      <c r="CP129" s="33"/>
    </row>
  </sheetData>
  <mergeCells count="1">
    <mergeCell ref="A13:O1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D1:J27"/>
  <sheetViews>
    <sheetView zoomScale="90" zoomScaleNormal="90" workbookViewId="0">
      <selection activeCell="G18" sqref="G18"/>
    </sheetView>
  </sheetViews>
  <sheetFormatPr baseColWidth="10" defaultRowHeight="12.75"/>
  <cols>
    <col min="1" max="3" width="11.42578125" style="1"/>
    <col min="4" max="4" width="28.42578125" style="1" bestFit="1" customWidth="1"/>
    <col min="5" max="8" width="11.42578125" style="1"/>
    <col min="9" max="9" width="20.140625" style="1" bestFit="1" customWidth="1"/>
    <col min="10" max="16384" width="11.42578125" style="1"/>
  </cols>
  <sheetData>
    <row r="1" spans="4:10">
      <c r="D1" s="1" t="s">
        <v>105</v>
      </c>
      <c r="E1" s="53" t="s">
        <v>106</v>
      </c>
    </row>
    <row r="2" spans="4:10">
      <c r="D2" s="1" t="s">
        <v>96</v>
      </c>
    </row>
    <row r="3" spans="4:10">
      <c r="D3" s="1" t="s">
        <v>97</v>
      </c>
      <c r="E3" s="1">
        <v>1.25</v>
      </c>
      <c r="I3" s="1" t="s">
        <v>93</v>
      </c>
    </row>
    <row r="4" spans="4:10">
      <c r="D4" s="1" t="s">
        <v>98</v>
      </c>
      <c r="E4" s="1">
        <v>1.02</v>
      </c>
      <c r="I4" s="1" t="s">
        <v>94</v>
      </c>
      <c r="J4" s="54">
        <v>7.4999999999999997E-2</v>
      </c>
    </row>
    <row r="5" spans="4:10">
      <c r="D5" s="1" t="s">
        <v>99</v>
      </c>
      <c r="E5" s="1">
        <v>0.91</v>
      </c>
      <c r="I5" s="1" t="s">
        <v>95</v>
      </c>
      <c r="J5" s="2">
        <v>0.05</v>
      </c>
    </row>
    <row r="6" spans="4:10">
      <c r="D6" s="1" t="s">
        <v>100</v>
      </c>
      <c r="E6" s="1">
        <v>1.3</v>
      </c>
    </row>
    <row r="7" spans="4:10">
      <c r="D7" s="1" t="s">
        <v>101</v>
      </c>
      <c r="E7" s="1">
        <v>1.01</v>
      </c>
    </row>
    <row r="8" spans="4:10">
      <c r="D8" s="1" t="s">
        <v>102</v>
      </c>
      <c r="E8" s="1">
        <v>0.7</v>
      </c>
    </row>
    <row r="10" spans="4:10">
      <c r="E10" s="1" t="s">
        <v>2</v>
      </c>
    </row>
    <row r="11" spans="4:10">
      <c r="D11" s="57" t="s">
        <v>109</v>
      </c>
      <c r="E11" s="75">
        <v>0.09</v>
      </c>
    </row>
    <row r="12" spans="4:10">
      <c r="D12" s="59" t="s">
        <v>84</v>
      </c>
      <c r="E12" s="60">
        <v>0.33</v>
      </c>
    </row>
    <row r="13" spans="4:10">
      <c r="D13" s="61" t="s">
        <v>110</v>
      </c>
      <c r="E13" s="62">
        <f>+E11*(1-E12)</f>
        <v>6.0299999999999992E-2</v>
      </c>
    </row>
    <row r="15" spans="4:10">
      <c r="D15" s="57" t="s">
        <v>90</v>
      </c>
      <c r="E15" s="58"/>
    </row>
    <row r="16" spans="4:10">
      <c r="D16" s="59" t="s">
        <v>91</v>
      </c>
      <c r="E16" s="63"/>
    </row>
    <row r="17" spans="4:5">
      <c r="D17" s="59" t="s">
        <v>92</v>
      </c>
      <c r="E17" s="64">
        <f>+IF(Supuestos!K14="No",E18+E19*E21,IF(Supuestos!K14="si",E18+E20*E21,))</f>
        <v>0.13750000000000001</v>
      </c>
    </row>
    <row r="18" spans="4:5">
      <c r="D18" s="59" t="s">
        <v>103</v>
      </c>
      <c r="E18" s="65">
        <f>+J4</f>
        <v>7.4999999999999997E-2</v>
      </c>
    </row>
    <row r="19" spans="4:5">
      <c r="D19" s="59" t="s">
        <v>104</v>
      </c>
      <c r="E19" s="63">
        <f>+IF(E1="Textil",E3,IF(E1="Cementero",E4,IF(E1="Consumo masivo",E5,IF(E1="Financiero",E6,IF(E1="Petrolero",E7,IF(E1="minero",E8,))))))</f>
        <v>1.25</v>
      </c>
    </row>
    <row r="20" spans="4:5">
      <c r="D20" s="59" t="s">
        <v>140</v>
      </c>
      <c r="E20" s="63">
        <f>+E19*0.95</f>
        <v>1.1875</v>
      </c>
    </row>
    <row r="21" spans="4:5">
      <c r="D21" s="61" t="s">
        <v>107</v>
      </c>
      <c r="E21" s="66">
        <f>+J5</f>
        <v>0.05</v>
      </c>
    </row>
    <row r="23" spans="4:5">
      <c r="D23" s="57" t="s">
        <v>111</v>
      </c>
      <c r="E23" s="68"/>
    </row>
    <row r="24" spans="4:5">
      <c r="D24" s="59" t="s">
        <v>112</v>
      </c>
      <c r="E24" s="73">
        <v>0.3</v>
      </c>
    </row>
    <row r="25" spans="4:5">
      <c r="D25" s="61" t="s">
        <v>113</v>
      </c>
      <c r="E25" s="74">
        <v>0.7</v>
      </c>
    </row>
    <row r="27" spans="4:5">
      <c r="D27" s="67" t="s">
        <v>108</v>
      </c>
      <c r="E27" s="69">
        <f>+E17*E25+E13*E24</f>
        <v>0.11434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4"/>
  <sheetViews>
    <sheetView tabSelected="1" zoomScale="90" zoomScaleNormal="90" workbookViewId="0">
      <selection activeCell="A5" sqref="A5"/>
    </sheetView>
  </sheetViews>
  <sheetFormatPr baseColWidth="10" defaultRowHeight="12.75"/>
  <cols>
    <col min="1" max="1" width="32.5703125" style="1" bestFit="1" customWidth="1"/>
    <col min="2" max="16384" width="11.42578125" style="1"/>
  </cols>
  <sheetData>
    <row r="1" spans="1:14" ht="19.5">
      <c r="A1" s="80" t="s">
        <v>82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</row>
    <row r="2" spans="1:14">
      <c r="B2" s="1" t="s">
        <v>17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</row>
    <row r="3" spans="1:14">
      <c r="A3" s="1" t="s">
        <v>142</v>
      </c>
      <c r="C3" s="50">
        <f>+Supuestos!F6*Supuestos!F9</f>
        <v>409827.96751339745</v>
      </c>
      <c r="D3" s="50">
        <f>+Supuestos!G6*Supuestos!G9</f>
        <v>441953.92646634101</v>
      </c>
      <c r="E3" s="50">
        <f>+Supuestos!H6*Supuestos!H9</f>
        <v>479526.74287643918</v>
      </c>
      <c r="F3" s="50">
        <f>+Supuestos!I6*Supuestos!I9</f>
        <v>514975.15843587433</v>
      </c>
      <c r="G3" s="50">
        <f>+Supuestos!J6*Supuestos!J9</f>
        <v>539436.47846157849</v>
      </c>
      <c r="H3" s="50">
        <f>+Supuestos!K6*Supuestos!K9</f>
        <v>565059.71118850342</v>
      </c>
      <c r="I3" s="50">
        <f>+Supuestos!L6*Supuestos!L9</f>
        <v>591900.0474699575</v>
      </c>
      <c r="J3" s="50">
        <f>+Supuestos!M6*Supuestos!M9</f>
        <v>620015.29972478049</v>
      </c>
      <c r="K3" s="50">
        <f>+Supuestos!N6*Supuestos!N9</f>
        <v>649466.02646170766</v>
      </c>
      <c r="L3" s="50">
        <f>+Supuestos!O6*Supuestos!O9</f>
        <v>680315.66271863878</v>
      </c>
      <c r="M3" s="50">
        <f>+Supuestos!P6*Supuestos!P9</f>
        <v>712630.65669777419</v>
      </c>
    </row>
    <row r="4" spans="1:14">
      <c r="A4" s="1" t="s">
        <v>87</v>
      </c>
      <c r="C4" s="50">
        <f>+'Depreciación PPE'!E80</f>
        <v>225539.8137859061</v>
      </c>
      <c r="D4" s="50">
        <f>+'Depreciación PPE'!F80</f>
        <v>240826.94695218949</v>
      </c>
      <c r="E4" s="50">
        <f>+'Depreciación PPE'!G80</f>
        <v>235012.9806929421</v>
      </c>
      <c r="F4" s="50">
        <f>+'Depreciación PPE'!H80</f>
        <v>217867.7439307103</v>
      </c>
      <c r="G4" s="50">
        <f>+'Depreciación PPE'!I80</f>
        <v>215981.12150717247</v>
      </c>
      <c r="H4" s="50">
        <f>+'Depreciación PPE'!J80</f>
        <v>235803.7785185166</v>
      </c>
      <c r="I4" s="50">
        <f>+'Depreciación PPE'!K80</f>
        <v>215507.07840456642</v>
      </c>
      <c r="J4" s="50">
        <f>+'Depreciación PPE'!L80</f>
        <v>226723.41270186985</v>
      </c>
      <c r="K4" s="50">
        <f>+'Depreciación PPE'!M80</f>
        <v>249507.09737829544</v>
      </c>
      <c r="L4" s="50">
        <f>+'Depreciación PPE'!N80</f>
        <v>273373.00707685121</v>
      </c>
      <c r="M4" s="50">
        <f>+'Depreciación PPE'!O80</f>
        <v>298372.54748608841</v>
      </c>
    </row>
    <row r="5" spans="1:14">
      <c r="A5" s="51" t="s">
        <v>83</v>
      </c>
      <c r="B5" s="51"/>
      <c r="C5" s="52">
        <f>+C3-C4</f>
        <v>184288.15372749136</v>
      </c>
      <c r="D5" s="52">
        <f>+D3-D4</f>
        <v>201126.97951415152</v>
      </c>
      <c r="E5" s="52">
        <f>+E3-E4</f>
        <v>244513.76218349708</v>
      </c>
      <c r="F5" s="52">
        <f>+F3-F4</f>
        <v>297107.41450516402</v>
      </c>
      <c r="G5" s="52">
        <f>+G3-G4</f>
        <v>323455.35695440602</v>
      </c>
      <c r="H5" s="52">
        <f>+H3-H4</f>
        <v>329255.93266998685</v>
      </c>
      <c r="I5" s="52">
        <f>+I3-I4</f>
        <v>376392.96906539111</v>
      </c>
      <c r="J5" s="52">
        <f>+J3-J4</f>
        <v>393291.88702291064</v>
      </c>
      <c r="K5" s="52">
        <f>+K3-K4</f>
        <v>399958.92908341222</v>
      </c>
      <c r="L5" s="52">
        <f>+L3-L4</f>
        <v>406942.65564178757</v>
      </c>
      <c r="M5" s="52">
        <f>+M3-M4</f>
        <v>414258.10921168578</v>
      </c>
    </row>
    <row r="6" spans="1:14">
      <c r="A6" s="1" t="s">
        <v>84</v>
      </c>
      <c r="C6" s="50">
        <f>+C5*Supuestos!F10</f>
        <v>39691.409018262755</v>
      </c>
      <c r="D6" s="50">
        <f>+D5*Supuestos!G10</f>
        <v>43318.102911316259</v>
      </c>
      <c r="E6" s="50">
        <f>+E5*Supuestos!H10</f>
        <v>52662.613136655695</v>
      </c>
      <c r="F6" s="50">
        <f>+F5*Supuestos!I10</f>
        <v>63990.070294593352</v>
      </c>
      <c r="G6" s="50">
        <f>+G5*Supuestos!J10</f>
        <v>69664.808140678273</v>
      </c>
      <c r="H6" s="50">
        <f>+H5*Supuestos!K10</f>
        <v>70914.118086063958</v>
      </c>
      <c r="I6" s="50">
        <f>+I5*Supuestos!L10</f>
        <v>81066.346287586333</v>
      </c>
      <c r="J6" s="50">
        <f>+J5*Supuestos!M10</f>
        <v>84705.982645383949</v>
      </c>
      <c r="K6" s="50">
        <f>+K5*Supuestos!N10</f>
        <v>86141.909415569258</v>
      </c>
      <c r="L6" s="50">
        <f>+L5*Supuestos!O10</f>
        <v>87646.042707338347</v>
      </c>
      <c r="M6" s="50">
        <f>+M5*Supuestos!P10</f>
        <v>89221.622330466475</v>
      </c>
    </row>
    <row r="7" spans="1:14">
      <c r="A7" s="51" t="s">
        <v>86</v>
      </c>
      <c r="B7" s="51"/>
      <c r="C7" s="52">
        <f>+C5-C6</f>
        <v>144596.7447092286</v>
      </c>
      <c r="D7" s="52">
        <f t="shared" ref="D7:M7" si="0">+D5-D6</f>
        <v>157808.87660283525</v>
      </c>
      <c r="E7" s="52">
        <f t="shared" si="0"/>
        <v>191851.14904684137</v>
      </c>
      <c r="F7" s="52">
        <f t="shared" si="0"/>
        <v>233117.34421057068</v>
      </c>
      <c r="G7" s="52">
        <f t="shared" si="0"/>
        <v>253790.54881372774</v>
      </c>
      <c r="H7" s="52">
        <f t="shared" si="0"/>
        <v>258341.81458392291</v>
      </c>
      <c r="I7" s="52">
        <f t="shared" si="0"/>
        <v>295326.62277780479</v>
      </c>
      <c r="J7" s="52">
        <f t="shared" si="0"/>
        <v>308585.90437752672</v>
      </c>
      <c r="K7" s="52">
        <f t="shared" si="0"/>
        <v>313817.01966784295</v>
      </c>
      <c r="L7" s="52">
        <f t="shared" si="0"/>
        <v>319296.61293444922</v>
      </c>
      <c r="M7" s="52">
        <f t="shared" si="0"/>
        <v>325036.48688121932</v>
      </c>
    </row>
    <row r="8" spans="1:14">
      <c r="A8" s="1" t="s">
        <v>87</v>
      </c>
      <c r="C8" s="50">
        <f>+'Depreciación PPE'!E71</f>
        <v>225539.8137859061</v>
      </c>
      <c r="D8" s="50">
        <f>+'Depreciación PPE'!F71</f>
        <v>240826.94695218949</v>
      </c>
      <c r="E8" s="50">
        <f>+'Depreciación PPE'!G71</f>
        <v>235012.9806929421</v>
      </c>
      <c r="F8" s="50">
        <f>+'Depreciación PPE'!H71</f>
        <v>217867.7439307103</v>
      </c>
      <c r="G8" s="50">
        <f>+'Depreciación PPE'!I71</f>
        <v>215981.12150717247</v>
      </c>
      <c r="H8" s="50">
        <f>+'Depreciación PPE'!J71</f>
        <v>235803.7785185166</v>
      </c>
      <c r="I8" s="50">
        <f>+'Depreciación PPE'!K71</f>
        <v>215507.07840456642</v>
      </c>
      <c r="J8" s="50">
        <f>+'Depreciación PPE'!L71</f>
        <v>226723.41270186985</v>
      </c>
      <c r="K8" s="50">
        <f>+'Depreciación PPE'!M71</f>
        <v>249507.09737829544</v>
      </c>
      <c r="L8" s="50">
        <f>+'Depreciación PPE'!N71</f>
        <v>273373.00707685121</v>
      </c>
      <c r="M8" s="50">
        <f>+'Depreciación PPE'!O71</f>
        <v>298372.54748608841</v>
      </c>
    </row>
    <row r="9" spans="1:14">
      <c r="A9" s="51" t="s">
        <v>88</v>
      </c>
      <c r="B9" s="51"/>
      <c r="C9" s="52">
        <f>+C7+C8</f>
        <v>370136.5584951347</v>
      </c>
      <c r="D9" s="52">
        <f t="shared" ref="D9:M9" si="1">+D7+D8</f>
        <v>398635.82355502475</v>
      </c>
      <c r="E9" s="52">
        <f t="shared" si="1"/>
        <v>426864.12973978347</v>
      </c>
      <c r="F9" s="52">
        <f t="shared" si="1"/>
        <v>450985.08814128098</v>
      </c>
      <c r="G9" s="52">
        <f t="shared" si="1"/>
        <v>469771.67032090022</v>
      </c>
      <c r="H9" s="52">
        <f t="shared" si="1"/>
        <v>494145.59310243954</v>
      </c>
      <c r="I9" s="52">
        <f t="shared" si="1"/>
        <v>510833.70118237124</v>
      </c>
      <c r="J9" s="52">
        <f t="shared" si="1"/>
        <v>535309.31707939657</v>
      </c>
      <c r="K9" s="52">
        <f t="shared" si="1"/>
        <v>563324.11704613839</v>
      </c>
      <c r="L9" s="52">
        <f t="shared" si="1"/>
        <v>592669.62001130043</v>
      </c>
      <c r="M9" s="52">
        <f t="shared" si="1"/>
        <v>623409.03436730779</v>
      </c>
    </row>
    <row r="10" spans="1:14">
      <c r="A10" s="1" t="s">
        <v>71</v>
      </c>
      <c r="C10" s="50">
        <f>+'Depreciación PPE'!E16</f>
        <v>219550.69688217723</v>
      </c>
      <c r="D10" s="50">
        <f>+'Depreciación PPE'!F16</f>
        <v>236761.03203553986</v>
      </c>
      <c r="E10" s="50">
        <f>+'Depreciación PPE'!G16</f>
        <v>256889.32654094958</v>
      </c>
      <c r="F10" s="50">
        <f>+'Depreciación PPE'!H16</f>
        <v>275879.54916207556</v>
      </c>
      <c r="G10" s="50">
        <f>+'Depreciación PPE'!I16</f>
        <v>288983.82774727419</v>
      </c>
      <c r="H10" s="50">
        <f>+'Depreciación PPE'!J16</f>
        <v>302710.55956526974</v>
      </c>
      <c r="I10" s="50">
        <f>+'Depreciación PPE'!K16</f>
        <v>317089.31114462012</v>
      </c>
      <c r="J10" s="50">
        <f>+'Depreciación PPE'!L16</f>
        <v>332151.05342398956</v>
      </c>
      <c r="K10" s="50">
        <f>+'Depreciación PPE'!M16</f>
        <v>347928.22846162913</v>
      </c>
      <c r="L10" s="50">
        <f>+'Depreciación PPE'!N16</f>
        <v>364454.81931355654</v>
      </c>
      <c r="M10" s="50">
        <f>+'Depreciación PPE'!O16</f>
        <v>381766.42323095049</v>
      </c>
    </row>
    <row r="11" spans="1:14">
      <c r="A11" s="1" t="s">
        <v>29</v>
      </c>
      <c r="B11" s="50">
        <f>+Supuestos!E40</f>
        <v>-151934</v>
      </c>
      <c r="C11" s="50">
        <f>+Supuestos!F40</f>
        <v>-85064.776339219563</v>
      </c>
      <c r="D11" s="50">
        <f>+Supuestos!G40</f>
        <v>-91732.909628404595</v>
      </c>
      <c r="E11" s="50">
        <f>+Supuestos!H40</f>
        <v>-99531.604392336289</v>
      </c>
      <c r="F11" s="50">
        <f>+Supuestos!I40</f>
        <v>-106889.35393646552</v>
      </c>
      <c r="G11" s="50">
        <f>+Supuestos!J40</f>
        <v>-111966.59824844771</v>
      </c>
      <c r="H11" s="50">
        <f>+Supuestos!K40</f>
        <v>-117285.01166524924</v>
      </c>
      <c r="I11" s="50">
        <f>+Supuestos!L40</f>
        <v>-122856.04971934845</v>
      </c>
      <c r="J11" s="50">
        <f>+Supuestos!M40</f>
        <v>-128691.71208101748</v>
      </c>
      <c r="K11" s="50">
        <f>+Supuestos!N40</f>
        <v>-134804.5684048658</v>
      </c>
      <c r="L11" s="50">
        <f>+Supuestos!O40</f>
        <v>-141207.78540409706</v>
      </c>
      <c r="M11" s="50">
        <f>+Supuestos!P40</f>
        <v>-147915.15521079145</v>
      </c>
    </row>
    <row r="12" spans="1:14">
      <c r="A12" s="1" t="s">
        <v>89</v>
      </c>
      <c r="C12" s="50">
        <f>+C11-B11</f>
        <v>66869.223660780437</v>
      </c>
      <c r="D12" s="50">
        <f>+D11-C11</f>
        <v>-6668.1332891850325</v>
      </c>
      <c r="E12" s="50">
        <f t="shared" ref="E12:M12" si="2">+E11-D11</f>
        <v>-7798.6947639316932</v>
      </c>
      <c r="F12" s="50">
        <f t="shared" si="2"/>
        <v>-7357.7495441292267</v>
      </c>
      <c r="G12" s="50">
        <f t="shared" si="2"/>
        <v>-5077.2443119821983</v>
      </c>
      <c r="H12" s="50">
        <f t="shared" si="2"/>
        <v>-5318.4134168015298</v>
      </c>
      <c r="I12" s="50">
        <f t="shared" si="2"/>
        <v>-5571.0380540992046</v>
      </c>
      <c r="J12" s="50">
        <f t="shared" si="2"/>
        <v>-5835.662361669034</v>
      </c>
      <c r="K12" s="50">
        <f t="shared" si="2"/>
        <v>-6112.8563238483184</v>
      </c>
      <c r="L12" s="50">
        <f t="shared" si="2"/>
        <v>-6403.2169992312556</v>
      </c>
      <c r="M12" s="50">
        <f t="shared" si="2"/>
        <v>-6707.3698066943907</v>
      </c>
    </row>
    <row r="13" spans="1:14">
      <c r="A13" s="51" t="s">
        <v>81</v>
      </c>
      <c r="B13" s="51"/>
      <c r="C13" s="52">
        <f>+C9-C10-C12</f>
        <v>83716.637952177029</v>
      </c>
      <c r="D13" s="52">
        <f>+D9-D10-D12</f>
        <v>168542.92480866992</v>
      </c>
      <c r="E13" s="52">
        <f t="shared" ref="E13:M13" si="3">+E9-E10-E12</f>
        <v>177773.49796276557</v>
      </c>
      <c r="F13" s="52">
        <f t="shared" si="3"/>
        <v>182463.28852333466</v>
      </c>
      <c r="G13" s="52">
        <f t="shared" si="3"/>
        <v>185865.08688560821</v>
      </c>
      <c r="H13" s="52">
        <f t="shared" si="3"/>
        <v>196753.44695397135</v>
      </c>
      <c r="I13" s="52">
        <f t="shared" si="3"/>
        <v>199315.42809185031</v>
      </c>
      <c r="J13" s="52">
        <f t="shared" si="3"/>
        <v>208993.92601707604</v>
      </c>
      <c r="K13" s="52">
        <f t="shared" si="3"/>
        <v>221508.74490835756</v>
      </c>
      <c r="L13" s="52">
        <f t="shared" si="3"/>
        <v>234618.01769697515</v>
      </c>
      <c r="M13" s="52">
        <f t="shared" si="3"/>
        <v>248349.98094305169</v>
      </c>
    </row>
    <row r="14" spans="1:14">
      <c r="A14" s="1" t="s">
        <v>117</v>
      </c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5">
        <v>0.01</v>
      </c>
      <c r="N14" s="1" t="s">
        <v>114</v>
      </c>
    </row>
    <row r="15" spans="1:14">
      <c r="A15" s="1" t="s">
        <v>80</v>
      </c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5">
        <v>0.03</v>
      </c>
      <c r="N15" s="1" t="s">
        <v>115</v>
      </c>
    </row>
    <row r="16" spans="1:14">
      <c r="A16" s="1" t="s">
        <v>116</v>
      </c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5">
        <f>+(1+M14)*(1+M15)-1</f>
        <v>4.0300000000000002E-2</v>
      </c>
      <c r="N16" s="1" t="s">
        <v>118</v>
      </c>
    </row>
    <row r="17" spans="1:13">
      <c r="A17" s="1" t="s">
        <v>119</v>
      </c>
      <c r="C17" s="56">
        <f>+WACC!E27</f>
        <v>0.11434</v>
      </c>
      <c r="D17" s="56">
        <f>+C17</f>
        <v>0.11434</v>
      </c>
      <c r="E17" s="56">
        <f t="shared" ref="E17:M17" si="4">+D17</f>
        <v>0.11434</v>
      </c>
      <c r="F17" s="56">
        <f t="shared" si="4"/>
        <v>0.11434</v>
      </c>
      <c r="G17" s="56">
        <f t="shared" si="4"/>
        <v>0.11434</v>
      </c>
      <c r="H17" s="56">
        <f t="shared" si="4"/>
        <v>0.11434</v>
      </c>
      <c r="I17" s="56">
        <f t="shared" si="4"/>
        <v>0.11434</v>
      </c>
      <c r="J17" s="56">
        <f t="shared" si="4"/>
        <v>0.11434</v>
      </c>
      <c r="K17" s="56">
        <f t="shared" si="4"/>
        <v>0.11434</v>
      </c>
      <c r="L17" s="56">
        <f t="shared" si="4"/>
        <v>0.11434</v>
      </c>
      <c r="M17" s="56">
        <f t="shared" si="4"/>
        <v>0.11434</v>
      </c>
    </row>
    <row r="18" spans="1:13">
      <c r="A18" s="1" t="s">
        <v>120</v>
      </c>
      <c r="C18" s="72">
        <v>1</v>
      </c>
      <c r="D18" s="72">
        <v>1</v>
      </c>
      <c r="E18" s="72">
        <f t="shared" ref="E18:M18" si="5">+D18*(1+E17)</f>
        <v>1.1143399999999999</v>
      </c>
      <c r="F18" s="72">
        <f t="shared" si="5"/>
        <v>1.2417536355999998</v>
      </c>
      <c r="G18" s="72">
        <f t="shared" si="5"/>
        <v>1.3837357462945037</v>
      </c>
      <c r="H18" s="72">
        <f t="shared" si="5"/>
        <v>1.5419520915258171</v>
      </c>
      <c r="I18" s="72">
        <f t="shared" si="5"/>
        <v>1.7182588936708789</v>
      </c>
      <c r="J18" s="72">
        <f t="shared" si="5"/>
        <v>1.9147246155732069</v>
      </c>
      <c r="K18" s="72">
        <f t="shared" si="5"/>
        <v>2.1336542281178472</v>
      </c>
      <c r="L18" s="72">
        <f t="shared" si="5"/>
        <v>2.3776162525608417</v>
      </c>
      <c r="M18" s="72">
        <f t="shared" si="5"/>
        <v>2.6494728948786483</v>
      </c>
    </row>
    <row r="19" spans="1:13">
      <c r="A19" s="51" t="s">
        <v>121</v>
      </c>
      <c r="B19" s="51"/>
      <c r="C19" s="52">
        <f t="shared" ref="C19:K19" si="6">+C13/C18</f>
        <v>83716.637952177029</v>
      </c>
      <c r="D19" s="52">
        <f t="shared" si="6"/>
        <v>168542.92480866992</v>
      </c>
      <c r="E19" s="52">
        <f t="shared" si="6"/>
        <v>159532.54658610979</v>
      </c>
      <c r="F19" s="52">
        <f t="shared" si="6"/>
        <v>146940.00749606881</v>
      </c>
      <c r="G19" s="52">
        <f t="shared" si="6"/>
        <v>134321.22960134188</v>
      </c>
      <c r="H19" s="52">
        <f t="shared" si="6"/>
        <v>127600.23351910806</v>
      </c>
      <c r="I19" s="52">
        <f t="shared" si="6"/>
        <v>115998.4847603692</v>
      </c>
      <c r="J19" s="52">
        <f t="shared" si="6"/>
        <v>109150.90573195038</v>
      </c>
      <c r="K19" s="52">
        <f t="shared" si="6"/>
        <v>103816.60814074654</v>
      </c>
      <c r="L19" s="52">
        <f>+L13/L18</f>
        <v>98677.8322381826</v>
      </c>
      <c r="M19" s="52">
        <f>+M13/M18</f>
        <v>93735.618667058181</v>
      </c>
    </row>
    <row r="20" spans="1:13">
      <c r="A20" s="51" t="s">
        <v>122</v>
      </c>
      <c r="B20" s="51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>
        <f>+(M13*(1+M16)/(M17-M16))/M18</f>
        <v>1317033.5507744548</v>
      </c>
    </row>
    <row r="21" spans="1:13"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</row>
    <row r="22" spans="1:13">
      <c r="A22" s="76" t="s">
        <v>121</v>
      </c>
      <c r="C22" s="50">
        <f>+SUM(D19:M19)</f>
        <v>1258316.3915496054</v>
      </c>
      <c r="D22" s="50"/>
      <c r="E22" s="50"/>
      <c r="F22" s="50"/>
      <c r="G22" s="50"/>
      <c r="H22" s="50"/>
      <c r="I22" s="50"/>
      <c r="J22" s="50"/>
      <c r="K22" s="50"/>
      <c r="L22" s="50"/>
      <c r="M22" s="50"/>
    </row>
    <row r="23" spans="1:13">
      <c r="A23" s="76" t="s">
        <v>123</v>
      </c>
      <c r="C23" s="50">
        <f>+M20</f>
        <v>1317033.5507744548</v>
      </c>
      <c r="D23" s="50"/>
      <c r="E23" s="50"/>
      <c r="F23" s="50"/>
      <c r="G23" s="50"/>
      <c r="H23" s="50"/>
      <c r="I23" s="50"/>
      <c r="J23" s="50"/>
      <c r="K23" s="50"/>
      <c r="L23" s="50"/>
      <c r="M23" s="50"/>
    </row>
    <row r="24" spans="1:13">
      <c r="A24" s="51" t="s">
        <v>124</v>
      </c>
      <c r="B24" s="51"/>
      <c r="C24" s="52">
        <f>+C22+C23</f>
        <v>2575349.94232406</v>
      </c>
      <c r="D24" s="50"/>
      <c r="E24" s="50"/>
      <c r="F24" s="50"/>
      <c r="G24" s="50"/>
      <c r="H24" s="50"/>
      <c r="I24" s="50"/>
      <c r="J24" s="50"/>
      <c r="K24" s="50"/>
      <c r="L24" s="50"/>
      <c r="M24" s="50"/>
    </row>
    <row r="25" spans="1:13">
      <c r="A25" s="76" t="s">
        <v>125</v>
      </c>
      <c r="C25" s="50">
        <f>+Supuestos!E20</f>
        <v>396110</v>
      </c>
      <c r="D25" s="50"/>
      <c r="E25" s="50"/>
      <c r="F25" s="50"/>
      <c r="G25" s="50"/>
      <c r="H25" s="50"/>
      <c r="I25" s="50"/>
      <c r="J25" s="50"/>
      <c r="K25" s="50"/>
      <c r="L25" s="50"/>
      <c r="M25" s="50"/>
    </row>
    <row r="26" spans="1:13">
      <c r="A26" s="76" t="s">
        <v>126</v>
      </c>
      <c r="C26" s="50">
        <f>+Supuestos!E21</f>
        <v>246464</v>
      </c>
      <c r="D26" s="50"/>
      <c r="E26" s="50"/>
      <c r="F26" s="50"/>
      <c r="G26" s="50"/>
      <c r="H26" s="50"/>
      <c r="I26" s="50"/>
      <c r="J26" s="50"/>
      <c r="K26" s="50"/>
      <c r="L26" s="50"/>
      <c r="M26" s="50"/>
    </row>
    <row r="27" spans="1:13">
      <c r="A27" s="76" t="s">
        <v>127</v>
      </c>
      <c r="C27" s="50">
        <f>+Supuestos!E22</f>
        <v>124835</v>
      </c>
      <c r="D27" s="50"/>
      <c r="E27" s="50"/>
      <c r="F27" s="50"/>
      <c r="G27" s="50"/>
      <c r="H27" s="50"/>
      <c r="I27" s="50"/>
      <c r="J27" s="50"/>
      <c r="K27" s="50"/>
      <c r="L27" s="50"/>
      <c r="M27" s="50"/>
    </row>
    <row r="28" spans="1:13">
      <c r="A28" s="51" t="s">
        <v>133</v>
      </c>
      <c r="B28" s="51"/>
      <c r="C28" s="52">
        <f>+C24+SUM(C25:C27)</f>
        <v>3342758.94232406</v>
      </c>
      <c r="D28" s="50"/>
      <c r="E28" s="50"/>
      <c r="F28" s="50"/>
      <c r="G28" s="50"/>
      <c r="H28" s="50"/>
      <c r="I28" s="50"/>
      <c r="J28" s="50"/>
      <c r="K28" s="50"/>
      <c r="L28" s="50"/>
      <c r="M28" s="50"/>
    </row>
    <row r="29" spans="1:13">
      <c r="A29" s="76" t="s">
        <v>128</v>
      </c>
      <c r="C29" s="50">
        <f>+Supuestos!E23</f>
        <v>231946</v>
      </c>
      <c r="D29" s="50"/>
      <c r="E29" s="50"/>
      <c r="F29" s="50"/>
      <c r="G29" s="50"/>
      <c r="H29" s="50"/>
      <c r="I29" s="50"/>
      <c r="J29" s="50"/>
      <c r="K29" s="50"/>
      <c r="L29" s="50"/>
      <c r="M29" s="50"/>
    </row>
    <row r="30" spans="1:13">
      <c r="A30" s="76" t="s">
        <v>129</v>
      </c>
      <c r="C30" s="50">
        <f>+Supuestos!E24</f>
        <v>283664</v>
      </c>
      <c r="D30" s="50"/>
      <c r="E30" s="50"/>
      <c r="F30" s="50"/>
      <c r="G30" s="50"/>
      <c r="H30" s="50"/>
      <c r="I30" s="50"/>
      <c r="J30" s="50"/>
      <c r="K30" s="50"/>
      <c r="L30" s="50"/>
      <c r="M30" s="50"/>
    </row>
    <row r="31" spans="1:13">
      <c r="A31" s="76" t="s">
        <v>130</v>
      </c>
      <c r="C31" s="50">
        <f>+Supuestos!E25</f>
        <v>255000</v>
      </c>
      <c r="D31" s="50"/>
      <c r="E31" s="50"/>
      <c r="F31" s="50"/>
      <c r="G31" s="50"/>
      <c r="H31" s="50"/>
      <c r="I31" s="50"/>
      <c r="J31" s="50"/>
      <c r="K31" s="50"/>
      <c r="L31" s="50"/>
      <c r="M31" s="50"/>
    </row>
    <row r="32" spans="1:13">
      <c r="A32" s="76" t="s">
        <v>131</v>
      </c>
      <c r="C32" s="50">
        <f>+Supuestos!E26</f>
        <v>0</v>
      </c>
      <c r="D32" s="50"/>
      <c r="E32" s="50"/>
      <c r="F32" s="50"/>
      <c r="G32" s="50"/>
      <c r="H32" s="50"/>
      <c r="I32" s="50"/>
      <c r="J32" s="50"/>
      <c r="K32" s="50"/>
      <c r="L32" s="50"/>
      <c r="M32" s="50"/>
    </row>
    <row r="33" spans="1:3">
      <c r="A33" s="51" t="s">
        <v>132</v>
      </c>
      <c r="B33" s="51"/>
      <c r="C33" s="52">
        <f>+SUM(C29:C32)</f>
        <v>770610</v>
      </c>
    </row>
    <row r="34" spans="1:3">
      <c r="A34" s="51" t="s">
        <v>90</v>
      </c>
      <c r="B34" s="51"/>
      <c r="C34" s="52">
        <f>+C28-C33</f>
        <v>2572148.94232406</v>
      </c>
    </row>
  </sheetData>
  <mergeCells count="1">
    <mergeCell ref="A1:M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Supuestos</vt:lpstr>
      <vt:lpstr>Depreciación PPE</vt:lpstr>
      <vt:lpstr>WACC</vt:lpstr>
      <vt:lpstr>FCL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JAIRO</dc:creator>
  <cp:lastModifiedBy>JAIRO</cp:lastModifiedBy>
  <dcterms:created xsi:type="dcterms:W3CDTF">2010-09-22T17:56:53Z</dcterms:created>
  <dcterms:modified xsi:type="dcterms:W3CDTF">2010-11-06T16:14:16Z</dcterms:modified>
</cp:coreProperties>
</file>