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jandro\Desktop\Universidad\Universidad\MAF\Semestre 3\Trabajo de Grado\TDG_AlejandroGutierrezRestrepo\"/>
    </mc:Choice>
  </mc:AlternateContent>
  <xr:revisionPtr revIDLastSave="0" documentId="13_ncr:1_{7ADF11C4-02D2-4519-92C6-D00568FF1FF0}" xr6:coauthVersionLast="47" xr6:coauthVersionMax="47" xr10:uidLastSave="{00000000-0000-0000-0000-000000000000}"/>
  <bookViews>
    <workbookView xWindow="20370" yWindow="-120" windowWidth="29040" windowHeight="15840" firstSheet="2" activeTab="5" xr2:uid="{00000000-000D-0000-FFFF-FFFF00000000}"/>
  </bookViews>
  <sheets>
    <sheet name="Balance General AV" sheetId="1" r:id="rId1"/>
    <sheet name="Balance General AH" sheetId="2" r:id="rId2"/>
    <sheet name="Estado Resultados AV" sheetId="3" r:id="rId3"/>
    <sheet name="Indices Financieros 2024" sheetId="4" r:id="rId4"/>
    <sheet name="Supuestos" sheetId="8" r:id="rId5"/>
    <sheet name="Indicadores Proyectados" sheetId="5" r:id="rId6"/>
    <sheet name="Estimación WACC" sheetId="9" r:id="rId7"/>
    <sheet name="Proyecciones EF" sheetId="7" r:id="rId8"/>
  </sheets>
  <definedNames>
    <definedName name="_xlnm._FilterDatabase" localSheetId="1" hidden="1">'Balance General AH'!$A$6:$E$89</definedName>
    <definedName name="_xlnm._FilterDatabase" localSheetId="0" hidden="1">'Balance General AV'!$A$6:$E$89</definedName>
    <definedName name="_xlnm._FilterDatabase" localSheetId="2" hidden="1">'Estado Resultados AV'!$A$6:$C$74</definedName>
    <definedName name="_xlnm._FilterDatabase" localSheetId="7" hidden="1">'Proyecciones EF'!$A$2:$B$86</definedName>
    <definedName name="_xlchart.v1.0" hidden="1">'Indicadores Proyectados'!$A$91</definedName>
    <definedName name="_xlchart.v1.1" hidden="1">'Indicadores Proyectados'!$B$85:$H$85</definedName>
    <definedName name="_xlchart.v1.10" hidden="1">'Indicadores Proyectados'!$A$91</definedName>
    <definedName name="_xlchart.v1.11" hidden="1">'Indicadores Proyectados'!$B$85:$H$85</definedName>
    <definedName name="_xlchart.v1.12" hidden="1">'Indicadores Proyectados'!$B$91:$H$91</definedName>
    <definedName name="_xlchart.v1.2" hidden="1">'Indicadores Proyectados'!$B$91:$H$91</definedName>
    <definedName name="_xlchart.v1.3" hidden="1">'Indicadores Proyectados'!$A$91</definedName>
    <definedName name="_xlchart.v1.4" hidden="1">'Indicadores Proyectados'!$B$85:$H$85</definedName>
    <definedName name="_xlchart.v1.5" hidden="1">'Indicadores Proyectados'!$B$91:$H$91</definedName>
    <definedName name="_xlchart.v1.6" hidden="1">'Indicadores Proyectados'!$A$91</definedName>
    <definedName name="_xlchart.v1.7" hidden="1">'Indicadores Proyectados'!$B$85:$H$85</definedName>
    <definedName name="_xlchart.v1.8" hidden="1">'Indicadores Proyectados'!$B$91:$H$91</definedName>
    <definedName name="_xlchart.v1.9" hidden="1">'Indicadores Proyectados'!$D$83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5" l="1"/>
  <c r="B34" i="7"/>
  <c r="D88" i="5"/>
  <c r="E88" i="5"/>
  <c r="F88" i="5"/>
  <c r="G88" i="5"/>
  <c r="H88" i="5"/>
  <c r="H91" i="5" s="1"/>
  <c r="D87" i="5"/>
  <c r="E87" i="5"/>
  <c r="F87" i="5"/>
  <c r="G87" i="5"/>
  <c r="H87" i="5"/>
  <c r="D86" i="5"/>
  <c r="E86" i="5"/>
  <c r="F86" i="5"/>
  <c r="F91" i="5" s="1"/>
  <c r="G86" i="5"/>
  <c r="H86" i="5"/>
  <c r="E91" i="5"/>
  <c r="D89" i="5"/>
  <c r="E89" i="5"/>
  <c r="F89" i="5"/>
  <c r="G89" i="5"/>
  <c r="H89" i="5"/>
  <c r="G91" i="5" l="1"/>
  <c r="D91" i="5"/>
  <c r="B102" i="8" l="1"/>
  <c r="F70" i="7"/>
  <c r="B60" i="9" l="1"/>
  <c r="B58" i="9"/>
  <c r="B57" i="9"/>
  <c r="C48" i="9"/>
  <c r="D48" i="9"/>
  <c r="C47" i="9"/>
  <c r="C46" i="9"/>
  <c r="B37" i="9"/>
  <c r="B35" i="9"/>
  <c r="C13" i="9"/>
  <c r="C4" i="9"/>
  <c r="C5" i="9" l="1"/>
  <c r="B40" i="9" l="1"/>
  <c r="C8" i="9" l="1"/>
  <c r="C14" i="9" l="1"/>
  <c r="C10" i="9" l="1"/>
  <c r="C9" i="4" l="1"/>
  <c r="B28" i="8"/>
  <c r="F19" i="8"/>
  <c r="E19" i="8"/>
  <c r="F91" i="7"/>
  <c r="G91" i="7"/>
  <c r="H91" i="7"/>
  <c r="E91" i="7"/>
  <c r="D91" i="7"/>
  <c r="C91" i="7"/>
  <c r="H19" i="8"/>
  <c r="G19" i="8"/>
  <c r="D19" i="8"/>
  <c r="F55" i="8"/>
  <c r="C55" i="8"/>
  <c r="E55" i="8"/>
  <c r="D55" i="8"/>
  <c r="B55" i="8"/>
  <c r="B48" i="8" l="1"/>
  <c r="F53" i="8"/>
  <c r="C54" i="8"/>
  <c r="C53" i="8"/>
  <c r="D53" i="8"/>
  <c r="E53" i="8"/>
  <c r="C37" i="4"/>
  <c r="C41" i="4"/>
  <c r="C82" i="8"/>
  <c r="C20" i="5" l="1"/>
  <c r="D20" i="5"/>
  <c r="E20" i="5"/>
  <c r="F20" i="5"/>
  <c r="G20" i="5"/>
  <c r="H20" i="5"/>
  <c r="B20" i="5"/>
  <c r="C19" i="5"/>
  <c r="C22" i="5" s="1"/>
  <c r="D19" i="5"/>
  <c r="D22" i="5" s="1"/>
  <c r="E19" i="5"/>
  <c r="F19" i="5"/>
  <c r="G19" i="5"/>
  <c r="H19" i="5"/>
  <c r="B19" i="5"/>
  <c r="B22" i="5" s="1"/>
  <c r="C190" i="7"/>
  <c r="C134" i="7"/>
  <c r="C26" i="7"/>
  <c r="D141" i="7"/>
  <c r="D142" i="7"/>
  <c r="D143" i="7"/>
  <c r="D144" i="7"/>
  <c r="D145" i="7"/>
  <c r="D140" i="7"/>
  <c r="D136" i="7"/>
  <c r="D137" i="7"/>
  <c r="D138" i="7"/>
  <c r="D135" i="7"/>
  <c r="C14" i="7"/>
  <c r="D14" i="7" s="1"/>
  <c r="D181" i="7" s="1"/>
  <c r="F22" i="5" l="1"/>
  <c r="G22" i="5"/>
  <c r="E22" i="5"/>
  <c r="H22" i="5"/>
  <c r="C179" i="7"/>
  <c r="B82" i="7" l="1"/>
  <c r="C81" i="7" s="1"/>
  <c r="C67" i="7"/>
  <c r="D124" i="7"/>
  <c r="D125" i="7"/>
  <c r="D126" i="7"/>
  <c r="D127" i="7"/>
  <c r="D128" i="7"/>
  <c r="D129" i="7"/>
  <c r="D130" i="7"/>
  <c r="D131" i="7"/>
  <c r="D132" i="7"/>
  <c r="D123" i="7"/>
  <c r="B133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C45" i="8"/>
  <c r="B45" i="8"/>
  <c r="B46" i="8" s="1"/>
  <c r="C39" i="8"/>
  <c r="B39" i="8"/>
  <c r="B40" i="8" s="1"/>
  <c r="D25" i="7"/>
  <c r="E25" i="7" s="1"/>
  <c r="F25" i="7" s="1"/>
  <c r="G25" i="7" s="1"/>
  <c r="H25" i="7" s="1"/>
  <c r="D24" i="7"/>
  <c r="D69" i="7"/>
  <c r="D68" i="7"/>
  <c r="E68" i="7" s="1"/>
  <c r="F68" i="7" s="1"/>
  <c r="G68" i="7" s="1"/>
  <c r="H68" i="7" s="1"/>
  <c r="D23" i="8"/>
  <c r="E23" i="8" s="1"/>
  <c r="F23" i="8" s="1"/>
  <c r="G23" i="8" s="1"/>
  <c r="H23" i="8" s="1"/>
  <c r="E24" i="7" l="1"/>
  <c r="D190" i="7"/>
  <c r="E134" i="7"/>
  <c r="E179" i="7" s="1"/>
  <c r="D134" i="7"/>
  <c r="D179" i="7" s="1"/>
  <c r="C80" i="7"/>
  <c r="D26" i="7"/>
  <c r="E67" i="7"/>
  <c r="D67" i="7"/>
  <c r="D195" i="7" s="1"/>
  <c r="D198" i="7" s="1"/>
  <c r="E123" i="7"/>
  <c r="C122" i="7"/>
  <c r="E190" i="7" l="1"/>
  <c r="F24" i="7"/>
  <c r="E195" i="7"/>
  <c r="E198" i="7" s="1"/>
  <c r="E26" i="7"/>
  <c r="E23" i="7" s="1"/>
  <c r="D23" i="7"/>
  <c r="D11" i="5" s="1"/>
  <c r="F123" i="7"/>
  <c r="F190" i="7" l="1"/>
  <c r="G24" i="7"/>
  <c r="H24" i="7" s="1"/>
  <c r="E193" i="7"/>
  <c r="E11" i="5"/>
  <c r="G123" i="7"/>
  <c r="H123" i="7" l="1"/>
  <c r="B14" i="8" l="1"/>
  <c r="B15" i="8" s="1"/>
  <c r="B92" i="2"/>
  <c r="B110" i="8" l="1"/>
  <c r="C110" i="8" s="1"/>
  <c r="B104" i="8"/>
  <c r="E117" i="8" s="1"/>
  <c r="E131" i="8" l="1"/>
  <c r="E126" i="8"/>
  <c r="E147" i="8"/>
  <c r="E142" i="8"/>
  <c r="E158" i="8"/>
  <c r="E116" i="8"/>
  <c r="E166" i="8"/>
  <c r="E123" i="8"/>
  <c r="E163" i="8"/>
  <c r="E140" i="8"/>
  <c r="E156" i="8"/>
  <c r="E134" i="8"/>
  <c r="E115" i="8"/>
  <c r="E150" i="8"/>
  <c r="E148" i="8"/>
  <c r="E124" i="8"/>
  <c r="E164" i="8"/>
  <c r="E118" i="8"/>
  <c r="E139" i="8"/>
  <c r="E155" i="8"/>
  <c r="E132" i="8"/>
  <c r="E110" i="8"/>
  <c r="D110" i="8" s="1"/>
  <c r="E162" i="8"/>
  <c r="E154" i="8"/>
  <c r="E146" i="8"/>
  <c r="E138" i="8"/>
  <c r="E130" i="8"/>
  <c r="E122" i="8"/>
  <c r="E114" i="8"/>
  <c r="E169" i="8"/>
  <c r="E161" i="8"/>
  <c r="E153" i="8"/>
  <c r="E145" i="8"/>
  <c r="E137" i="8"/>
  <c r="E129" i="8"/>
  <c r="E121" i="8"/>
  <c r="E113" i="8"/>
  <c r="E168" i="8"/>
  <c r="E160" i="8"/>
  <c r="E152" i="8"/>
  <c r="E144" i="8"/>
  <c r="E136" i="8"/>
  <c r="E128" i="8"/>
  <c r="E120" i="8"/>
  <c r="E112" i="8"/>
  <c r="E167" i="8"/>
  <c r="E159" i="8"/>
  <c r="E151" i="8"/>
  <c r="E143" i="8"/>
  <c r="E135" i="8"/>
  <c r="E127" i="8"/>
  <c r="E119" i="8"/>
  <c r="E111" i="8"/>
  <c r="E165" i="8"/>
  <c r="E157" i="8"/>
  <c r="E149" i="8"/>
  <c r="E141" i="8"/>
  <c r="E133" i="8"/>
  <c r="E125" i="8"/>
  <c r="F110" i="8" l="1"/>
  <c r="B111" i="8" s="1"/>
  <c r="C111" i="8" s="1"/>
  <c r="D111" i="8" l="1"/>
  <c r="F111" i="8" s="1"/>
  <c r="B112" i="8" s="1"/>
  <c r="C112" i="8" s="1"/>
  <c r="D112" i="8" l="1"/>
  <c r="F112" i="8" s="1"/>
  <c r="B113" i="8" s="1"/>
  <c r="C113" i="8" s="1"/>
  <c r="D113" i="8" l="1"/>
  <c r="F113" i="8" s="1"/>
  <c r="B114" i="8" s="1"/>
  <c r="C114" i="8" s="1"/>
  <c r="D114" i="8" l="1"/>
  <c r="F114" i="8" s="1"/>
  <c r="B115" i="8" s="1"/>
  <c r="C115" i="8" s="1"/>
  <c r="G158" i="7" s="1"/>
  <c r="D115" i="8" l="1"/>
  <c r="F115" i="8" s="1"/>
  <c r="B116" i="8" s="1"/>
  <c r="C116" i="8" s="1"/>
  <c r="D116" i="8" l="1"/>
  <c r="F116" i="8" s="1"/>
  <c r="B117" i="8" s="1"/>
  <c r="C117" i="8" s="1"/>
  <c r="D117" i="8" l="1"/>
  <c r="F117" i="8" s="1"/>
  <c r="B118" i="8" s="1"/>
  <c r="C118" i="8" s="1"/>
  <c r="D118" i="8" l="1"/>
  <c r="F118" i="8" s="1"/>
  <c r="B119" i="8" s="1"/>
  <c r="C119" i="8" s="1"/>
  <c r="D119" i="8" l="1"/>
  <c r="F119" i="8" s="1"/>
  <c r="B120" i="8" s="1"/>
  <c r="C120" i="8" s="1"/>
  <c r="D120" i="8" l="1"/>
  <c r="F120" i="8" s="1"/>
  <c r="B121" i="8" s="1"/>
  <c r="C121" i="8" s="1"/>
  <c r="H158" i="7" s="1"/>
  <c r="D121" i="8" l="1"/>
  <c r="F121" i="8" s="1"/>
  <c r="B122" i="8" s="1"/>
  <c r="C122" i="8" s="1"/>
  <c r="D122" i="8" l="1"/>
  <c r="F122" i="8" s="1"/>
  <c r="B123" i="8" s="1"/>
  <c r="C123" i="8" s="1"/>
  <c r="D123" i="8" l="1"/>
  <c r="F123" i="8" s="1"/>
  <c r="B124" i="8" s="1"/>
  <c r="C124" i="8" s="1"/>
  <c r="D124" i="8" l="1"/>
  <c r="F124" i="8" s="1"/>
  <c r="B125" i="8" s="1"/>
  <c r="C125" i="8" s="1"/>
  <c r="D125" i="8" l="1"/>
  <c r="F125" i="8" s="1"/>
  <c r="B126" i="8" s="1"/>
  <c r="C126" i="8" s="1"/>
  <c r="D126" i="8" l="1"/>
  <c r="F126" i="8" s="1"/>
  <c r="B127" i="8" s="1"/>
  <c r="C127" i="8" s="1"/>
  <c r="D127" i="8" l="1"/>
  <c r="F127" i="8" s="1"/>
  <c r="B128" i="8" s="1"/>
  <c r="C128" i="8" s="1"/>
  <c r="D128" i="8" l="1"/>
  <c r="F128" i="8" s="1"/>
  <c r="B129" i="8" s="1"/>
  <c r="C129" i="8" s="1"/>
  <c r="D129" i="8" l="1"/>
  <c r="F129" i="8" s="1"/>
  <c r="B130" i="8" s="1"/>
  <c r="C130" i="8" s="1"/>
  <c r="D130" i="8" l="1"/>
  <c r="F130" i="8" s="1"/>
  <c r="B131" i="8" s="1"/>
  <c r="C131" i="8" s="1"/>
  <c r="D131" i="8" l="1"/>
  <c r="F131" i="8" s="1"/>
  <c r="B132" i="8" s="1"/>
  <c r="C132" i="8" s="1"/>
  <c r="D132" i="8" l="1"/>
  <c r="F132" i="8" s="1"/>
  <c r="B133" i="8" s="1"/>
  <c r="C133" i="8" s="1"/>
  <c r="D133" i="8" l="1"/>
  <c r="F133" i="8" s="1"/>
  <c r="B134" i="8" s="1"/>
  <c r="C134" i="8" s="1"/>
  <c r="D134" i="8" l="1"/>
  <c r="F134" i="8" s="1"/>
  <c r="B135" i="8" s="1"/>
  <c r="C135" i="8" s="1"/>
  <c r="D135" i="8" l="1"/>
  <c r="F135" i="8" s="1"/>
  <c r="B136" i="8" s="1"/>
  <c r="C136" i="8" s="1"/>
  <c r="B99" i="2"/>
  <c r="B80" i="3"/>
  <c r="B97" i="2"/>
  <c r="B100" i="2" s="1"/>
  <c r="C92" i="2"/>
  <c r="C12" i="4"/>
  <c r="B94" i="8" s="1"/>
  <c r="C24" i="4"/>
  <c r="C22" i="4"/>
  <c r="C21" i="4"/>
  <c r="C18" i="4"/>
  <c r="C17" i="4"/>
  <c r="C93" i="2"/>
  <c r="B102" i="2"/>
  <c r="C98" i="7"/>
  <c r="B86" i="8"/>
  <c r="B85" i="8"/>
  <c r="D54" i="8"/>
  <c r="E54" i="8" s="1"/>
  <c r="B56" i="8"/>
  <c r="B53" i="8"/>
  <c r="B63" i="8" s="1"/>
  <c r="B7" i="8"/>
  <c r="B57" i="8" s="1"/>
  <c r="B80" i="7"/>
  <c r="C78" i="7"/>
  <c r="B78" i="7"/>
  <c r="C71" i="7"/>
  <c r="B71" i="7"/>
  <c r="B67" i="7"/>
  <c r="C57" i="7"/>
  <c r="B57" i="7"/>
  <c r="B44" i="7"/>
  <c r="C34" i="7"/>
  <c r="C27" i="7"/>
  <c r="B27" i="7"/>
  <c r="B23" i="7"/>
  <c r="C9" i="7"/>
  <c r="C16" i="7"/>
  <c r="C5" i="7"/>
  <c r="C162" i="7"/>
  <c r="B108" i="7"/>
  <c r="C108" i="7"/>
  <c r="D108" i="7" s="1"/>
  <c r="C103" i="7"/>
  <c r="D103" i="7" s="1"/>
  <c r="E103" i="7" s="1"/>
  <c r="B103" i="7"/>
  <c r="B14" i="7"/>
  <c r="B9" i="7"/>
  <c r="B5" i="7"/>
  <c r="B162" i="7"/>
  <c r="C158" i="7"/>
  <c r="B158" i="7"/>
  <c r="B73" i="8"/>
  <c r="B91" i="7"/>
  <c r="C94" i="7"/>
  <c r="B94" i="7"/>
  <c r="B98" i="7"/>
  <c r="B21" i="9" l="1"/>
  <c r="C187" i="7"/>
  <c r="C180" i="7"/>
  <c r="C185" i="7"/>
  <c r="C10" i="5"/>
  <c r="C63" i="8"/>
  <c r="F54" i="8"/>
  <c r="B65" i="8"/>
  <c r="B66" i="8" s="1"/>
  <c r="B11" i="5"/>
  <c r="C195" i="7"/>
  <c r="C198" i="7" s="1"/>
  <c r="B10" i="5"/>
  <c r="C186" i="7"/>
  <c r="C183" i="7"/>
  <c r="C182" i="7"/>
  <c r="D57" i="7"/>
  <c r="C181" i="7"/>
  <c r="D71" i="7"/>
  <c r="D186" i="7" s="1"/>
  <c r="D78" i="7"/>
  <c r="E78" i="7" s="1"/>
  <c r="F78" i="7" s="1"/>
  <c r="G78" i="7" s="1"/>
  <c r="H78" i="7" s="1"/>
  <c r="C92" i="8"/>
  <c r="E108" i="7"/>
  <c r="F108" i="7" s="1"/>
  <c r="G108" i="7" s="1"/>
  <c r="H108" i="7" s="1"/>
  <c r="B74" i="8"/>
  <c r="D34" i="7"/>
  <c r="D32" i="8" s="1"/>
  <c r="E14" i="7"/>
  <c r="B96" i="7"/>
  <c r="B2" i="5" s="1"/>
  <c r="B84" i="7"/>
  <c r="D136" i="8"/>
  <c r="F136" i="8" s="1"/>
  <c r="B137" i="8" s="1"/>
  <c r="C137" i="8" s="1"/>
  <c r="C74" i="7"/>
  <c r="B93" i="2"/>
  <c r="C94" i="2" s="1"/>
  <c r="B87" i="8"/>
  <c r="B21" i="7"/>
  <c r="B65" i="7"/>
  <c r="E85" i="8"/>
  <c r="C56" i="8"/>
  <c r="D56" i="8" s="1"/>
  <c r="F85" i="8"/>
  <c r="D85" i="8"/>
  <c r="C85" i="8"/>
  <c r="D146" i="7"/>
  <c r="C90" i="8"/>
  <c r="C57" i="8"/>
  <c r="B74" i="7"/>
  <c r="C21" i="7"/>
  <c r="B122" i="7"/>
  <c r="C23" i="7"/>
  <c r="C11" i="5" s="1"/>
  <c r="B30" i="7"/>
  <c r="C96" i="7"/>
  <c r="B9" i="5" l="1"/>
  <c r="B85" i="7"/>
  <c r="B16" i="5" s="1"/>
  <c r="B20" i="9"/>
  <c r="B38" i="9"/>
  <c r="C7" i="9" s="1"/>
  <c r="B17" i="5"/>
  <c r="B22" i="9" s="1"/>
  <c r="C12" i="9" s="1"/>
  <c r="B23" i="9"/>
  <c r="C11" i="9" s="1"/>
  <c r="B42" i="9"/>
  <c r="C6" i="9"/>
  <c r="C9" i="5"/>
  <c r="E71" i="7"/>
  <c r="E186" i="7" s="1"/>
  <c r="D74" i="7"/>
  <c r="D63" i="8"/>
  <c r="E181" i="7"/>
  <c r="D187" i="7"/>
  <c r="B14" i="5"/>
  <c r="B13" i="5"/>
  <c r="B12" i="5"/>
  <c r="C156" i="7"/>
  <c r="C2" i="5"/>
  <c r="D27" i="8"/>
  <c r="D9" i="7" s="1"/>
  <c r="D180" i="7" s="1"/>
  <c r="E56" i="8"/>
  <c r="F56" i="8" s="1"/>
  <c r="E57" i="7"/>
  <c r="D185" i="7"/>
  <c r="C65" i="8"/>
  <c r="D65" i="8" s="1"/>
  <c r="C66" i="8" s="1"/>
  <c r="C193" i="7"/>
  <c r="D193" i="7"/>
  <c r="B156" i="7"/>
  <c r="E34" i="7"/>
  <c r="F14" i="7"/>
  <c r="F71" i="7"/>
  <c r="F186" i="7" s="1"/>
  <c r="E74" i="7"/>
  <c r="C81" i="8"/>
  <c r="D81" i="8" s="1"/>
  <c r="E81" i="8" s="1"/>
  <c r="B31" i="7"/>
  <c r="D137" i="8"/>
  <c r="F137" i="8" s="1"/>
  <c r="B138" i="8" s="1"/>
  <c r="C138" i="8" s="1"/>
  <c r="B75" i="7"/>
  <c r="B60" i="8"/>
  <c r="B61" i="8" s="1"/>
  <c r="D82" i="8"/>
  <c r="E82" i="8" s="1"/>
  <c r="F82" i="8" s="1"/>
  <c r="F83" i="8" s="1"/>
  <c r="E146" i="7"/>
  <c r="F146" i="7"/>
  <c r="D57" i="8"/>
  <c r="F103" i="7" s="1"/>
  <c r="C30" i="7"/>
  <c r="C31" i="7" s="1"/>
  <c r="C88" i="5" l="1"/>
  <c r="C87" i="5"/>
  <c r="C86" i="5"/>
  <c r="B86" i="7"/>
  <c r="B89" i="5"/>
  <c r="B87" i="5"/>
  <c r="B88" i="5"/>
  <c r="B86" i="5"/>
  <c r="B91" i="5" s="1"/>
  <c r="B62" i="9"/>
  <c r="B67" i="9" s="1"/>
  <c r="C15" i="9" s="1"/>
  <c r="C9" i="9"/>
  <c r="C160" i="7"/>
  <c r="C164" i="7" s="1"/>
  <c r="C166" i="7" s="1"/>
  <c r="C167" i="7" s="1"/>
  <c r="C178" i="7" s="1"/>
  <c r="C8" i="5"/>
  <c r="E187" i="7"/>
  <c r="E32" i="8"/>
  <c r="E63" i="8"/>
  <c r="D10" i="5"/>
  <c r="D9" i="5" s="1"/>
  <c r="F27" i="8"/>
  <c r="F9" i="7" s="1"/>
  <c r="F181" i="7"/>
  <c r="C3" i="5"/>
  <c r="C4" i="5"/>
  <c r="B8" i="5"/>
  <c r="B4" i="5"/>
  <c r="B160" i="7"/>
  <c r="B164" i="7" s="1"/>
  <c r="B166" i="7" s="1"/>
  <c r="B3" i="5"/>
  <c r="G27" i="8"/>
  <c r="G9" i="7" s="1"/>
  <c r="F134" i="7"/>
  <c r="F179" i="7" s="1"/>
  <c r="F26" i="7"/>
  <c r="D38" i="8"/>
  <c r="D96" i="7"/>
  <c r="D2" i="5" s="1"/>
  <c r="D139" i="7"/>
  <c r="D44" i="8"/>
  <c r="D133" i="7"/>
  <c r="G70" i="7"/>
  <c r="F67" i="7"/>
  <c r="E96" i="7"/>
  <c r="E2" i="5" s="1"/>
  <c r="F139" i="7"/>
  <c r="E27" i="8"/>
  <c r="E9" i="7" s="1"/>
  <c r="E180" i="7" s="1"/>
  <c r="G133" i="7"/>
  <c r="F57" i="7"/>
  <c r="E185" i="7"/>
  <c r="F34" i="7"/>
  <c r="B67" i="8"/>
  <c r="B68" i="8" s="1"/>
  <c r="G14" i="7"/>
  <c r="G71" i="7"/>
  <c r="G186" i="7" s="1"/>
  <c r="B87" i="7"/>
  <c r="C60" i="8"/>
  <c r="D138" i="8"/>
  <c r="F138" i="8" s="1"/>
  <c r="B139" i="8" s="1"/>
  <c r="C139" i="8" s="1"/>
  <c r="C83" i="8"/>
  <c r="E83" i="8"/>
  <c r="D83" i="8"/>
  <c r="F81" i="8"/>
  <c r="E57" i="8"/>
  <c r="G103" i="7" s="1"/>
  <c r="B23" i="5" l="1"/>
  <c r="C23" i="5"/>
  <c r="C7" i="5"/>
  <c r="B7" i="5"/>
  <c r="C44" i="7"/>
  <c r="C184" i="7" s="1"/>
  <c r="C188" i="7" s="1"/>
  <c r="F187" i="7"/>
  <c r="F32" i="8"/>
  <c r="F63" i="8"/>
  <c r="G146" i="7"/>
  <c r="G26" i="7"/>
  <c r="G23" i="7" s="1"/>
  <c r="G11" i="5" s="1"/>
  <c r="F23" i="7"/>
  <c r="F11" i="5" s="1"/>
  <c r="G67" i="7"/>
  <c r="G195" i="7" s="1"/>
  <c r="G198" i="7" s="1"/>
  <c r="H70" i="7"/>
  <c r="H67" i="7" s="1"/>
  <c r="F96" i="7"/>
  <c r="F2" i="5" s="1"/>
  <c r="E10" i="5"/>
  <c r="F38" i="8"/>
  <c r="F27" i="7" s="1"/>
  <c r="G180" i="7"/>
  <c r="G139" i="7"/>
  <c r="F44" i="8"/>
  <c r="E44" i="8"/>
  <c r="E139" i="7"/>
  <c r="E133" i="7"/>
  <c r="D86" i="8" s="1"/>
  <c r="D87" i="8" s="1"/>
  <c r="C5" i="5"/>
  <c r="C18" i="5"/>
  <c r="C15" i="5"/>
  <c r="F193" i="7"/>
  <c r="C6" i="5"/>
  <c r="F195" i="7"/>
  <c r="F198" i="7" s="1"/>
  <c r="B5" i="5"/>
  <c r="B18" i="5"/>
  <c r="B15" i="5"/>
  <c r="F10" i="5"/>
  <c r="G181" i="7"/>
  <c r="B167" i="7"/>
  <c r="B6" i="5" s="1"/>
  <c r="F74" i="7"/>
  <c r="D16" i="7"/>
  <c r="D182" i="7" s="1"/>
  <c r="D27" i="7"/>
  <c r="E38" i="8"/>
  <c r="E27" i="7" s="1"/>
  <c r="F180" i="7"/>
  <c r="G134" i="7"/>
  <c r="G179" i="7" s="1"/>
  <c r="G190" i="7"/>
  <c r="E60" i="8"/>
  <c r="G38" i="8"/>
  <c r="G27" i="7" s="1"/>
  <c r="F133" i="7"/>
  <c r="F122" i="7" s="1"/>
  <c r="D122" i="7"/>
  <c r="D156" i="7" s="1"/>
  <c r="C86" i="8"/>
  <c r="C87" i="8" s="1"/>
  <c r="G44" i="8"/>
  <c r="G96" i="7"/>
  <c r="G2" i="5" s="1"/>
  <c r="G57" i="7"/>
  <c r="F185" i="7"/>
  <c r="G34" i="7"/>
  <c r="C61" i="8"/>
  <c r="H14" i="7"/>
  <c r="H71" i="7"/>
  <c r="D139" i="8"/>
  <c r="F139" i="8" s="1"/>
  <c r="B140" i="8" s="1"/>
  <c r="C140" i="8" s="1"/>
  <c r="D60" i="8"/>
  <c r="D61" i="8" s="1"/>
  <c r="F57" i="8"/>
  <c r="H103" i="7" s="1"/>
  <c r="H34" i="7" s="1"/>
  <c r="H32" i="8" s="1"/>
  <c r="F9" i="5" l="1"/>
  <c r="C65" i="7"/>
  <c r="C12" i="5" s="1"/>
  <c r="G74" i="7"/>
  <c r="G187" i="7"/>
  <c r="G32" i="8"/>
  <c r="H146" i="7"/>
  <c r="H27" i="8"/>
  <c r="H9" i="7" s="1"/>
  <c r="H180" i="7" s="1"/>
  <c r="F156" i="7"/>
  <c r="F3" i="5" s="1"/>
  <c r="F16" i="7"/>
  <c r="E122" i="7"/>
  <c r="E156" i="7" s="1"/>
  <c r="E3" i="5" s="1"/>
  <c r="G16" i="7"/>
  <c r="E86" i="8"/>
  <c r="E87" i="8" s="1"/>
  <c r="E16" i="7"/>
  <c r="E182" i="7" s="1"/>
  <c r="H187" i="7"/>
  <c r="H195" i="7"/>
  <c r="H198" i="7" s="1"/>
  <c r="H181" i="7"/>
  <c r="G10" i="5"/>
  <c r="G9" i="5" s="1"/>
  <c r="D8" i="5"/>
  <c r="D4" i="5"/>
  <c r="D160" i="7"/>
  <c r="D164" i="7" s="1"/>
  <c r="D166" i="7" s="1"/>
  <c r="D44" i="7" s="1"/>
  <c r="D3" i="5"/>
  <c r="G122" i="7"/>
  <c r="G156" i="7" s="1"/>
  <c r="H134" i="7"/>
  <c r="H190" i="7"/>
  <c r="H26" i="7"/>
  <c r="H23" i="7" s="1"/>
  <c r="H11" i="5" s="1"/>
  <c r="G193" i="7"/>
  <c r="D30" i="7"/>
  <c r="D183" i="7"/>
  <c r="E30" i="7"/>
  <c r="E183" i="7"/>
  <c r="F30" i="7"/>
  <c r="F183" i="7"/>
  <c r="H74" i="7"/>
  <c r="H186" i="7"/>
  <c r="G30" i="7"/>
  <c r="G183" i="7"/>
  <c r="H57" i="7"/>
  <c r="H185" i="7" s="1"/>
  <c r="G185" i="7"/>
  <c r="C83" i="7"/>
  <c r="D140" i="8"/>
  <c r="F140" i="8" s="1"/>
  <c r="B141" i="8" s="1"/>
  <c r="C141" i="8" s="1"/>
  <c r="E61" i="8"/>
  <c r="F86" i="8"/>
  <c r="F87" i="8" s="1"/>
  <c r="C75" i="7" l="1"/>
  <c r="C89" i="5" s="1"/>
  <c r="C91" i="5" s="1"/>
  <c r="C13" i="5"/>
  <c r="D23" i="5"/>
  <c r="D7" i="5"/>
  <c r="F160" i="7"/>
  <c r="F164" i="7" s="1"/>
  <c r="F166" i="7" s="1"/>
  <c r="F44" i="7" s="1"/>
  <c r="F8" i="5"/>
  <c r="F23" i="5" s="1"/>
  <c r="F4" i="5"/>
  <c r="F5" i="5" s="1"/>
  <c r="E8" i="5"/>
  <c r="E23" i="5" s="1"/>
  <c r="H10" i="5"/>
  <c r="H9" i="5" s="1"/>
  <c r="H139" i="7"/>
  <c r="H96" i="7"/>
  <c r="H2" i="5" s="1"/>
  <c r="H44" i="8"/>
  <c r="H38" i="8"/>
  <c r="H133" i="7"/>
  <c r="F182" i="7"/>
  <c r="E160" i="7"/>
  <c r="E164" i="7" s="1"/>
  <c r="E166" i="7" s="1"/>
  <c r="E44" i="7" s="1"/>
  <c r="E4" i="5"/>
  <c r="E5" i="5" s="1"/>
  <c r="G182" i="7"/>
  <c r="D5" i="5"/>
  <c r="D18" i="5"/>
  <c r="G4" i="5"/>
  <c r="G8" i="5"/>
  <c r="G23" i="5" s="1"/>
  <c r="D167" i="7"/>
  <c r="D82" i="7" s="1"/>
  <c r="G160" i="7"/>
  <c r="G164" i="7" s="1"/>
  <c r="G3" i="5"/>
  <c r="H193" i="7"/>
  <c r="H179" i="7"/>
  <c r="D65" i="7"/>
  <c r="D75" i="7" s="1"/>
  <c r="D184" i="7"/>
  <c r="F65" i="7"/>
  <c r="F75" i="7" s="1"/>
  <c r="C82" i="7"/>
  <c r="C200" i="7"/>
  <c r="F167" i="7"/>
  <c r="D141" i="8"/>
  <c r="F141" i="8" s="1"/>
  <c r="B142" i="8" s="1"/>
  <c r="C142" i="8" s="1"/>
  <c r="F60" i="8"/>
  <c r="F61" i="8" s="1"/>
  <c r="E7" i="5" l="1"/>
  <c r="F18" i="5"/>
  <c r="G7" i="5"/>
  <c r="F7" i="5"/>
  <c r="H122" i="7"/>
  <c r="H156" i="7" s="1"/>
  <c r="H16" i="7"/>
  <c r="H182" i="7" s="1"/>
  <c r="H27" i="7"/>
  <c r="E18" i="5"/>
  <c r="D178" i="7"/>
  <c r="D188" i="7" s="1"/>
  <c r="D200" i="7" s="1"/>
  <c r="D5" i="7" s="1"/>
  <c r="D6" i="5"/>
  <c r="E65" i="7"/>
  <c r="E75" i="7" s="1"/>
  <c r="E184" i="7"/>
  <c r="F184" i="7"/>
  <c r="D83" i="7"/>
  <c r="G166" i="7"/>
  <c r="G167" i="7" s="1"/>
  <c r="G6" i="5" s="1"/>
  <c r="E167" i="7"/>
  <c r="E6" i="5" s="1"/>
  <c r="G18" i="5"/>
  <c r="G5" i="5"/>
  <c r="F178" i="7"/>
  <c r="F6" i="5"/>
  <c r="D81" i="7"/>
  <c r="D80" i="7" s="1"/>
  <c r="C84" i="7"/>
  <c r="C85" i="7" s="1"/>
  <c r="F83" i="7"/>
  <c r="F82" i="7"/>
  <c r="D142" i="8"/>
  <c r="F142" i="8" s="1"/>
  <c r="B143" i="8" s="1"/>
  <c r="C143" i="8" s="1"/>
  <c r="D84" i="7" l="1"/>
  <c r="D85" i="7" s="1"/>
  <c r="H4" i="5"/>
  <c r="H8" i="5"/>
  <c r="H3" i="5"/>
  <c r="H160" i="7"/>
  <c r="H164" i="7" s="1"/>
  <c r="H166" i="7" s="1"/>
  <c r="H44" i="7" s="1"/>
  <c r="H65" i="7" s="1"/>
  <c r="H75" i="7" s="1"/>
  <c r="H183" i="7"/>
  <c r="H30" i="7"/>
  <c r="F188" i="7"/>
  <c r="F200" i="7" s="1"/>
  <c r="E83" i="7"/>
  <c r="E178" i="7"/>
  <c r="E188" i="7" s="1"/>
  <c r="E200" i="7" s="1"/>
  <c r="D86" i="7"/>
  <c r="D14" i="5"/>
  <c r="D16" i="5"/>
  <c r="D17" i="5" s="1"/>
  <c r="C86" i="7"/>
  <c r="C87" i="7" s="1"/>
  <c r="C16" i="5"/>
  <c r="C17" i="5" s="1"/>
  <c r="C14" i="5"/>
  <c r="G44" i="7"/>
  <c r="G65" i="7" s="1"/>
  <c r="G75" i="7" s="1"/>
  <c r="D21" i="7"/>
  <c r="D15" i="5"/>
  <c r="E82" i="7"/>
  <c r="H5" i="5"/>
  <c r="H18" i="5"/>
  <c r="G83" i="7"/>
  <c r="G178" i="7"/>
  <c r="E81" i="7"/>
  <c r="G82" i="7"/>
  <c r="D143" i="8"/>
  <c r="F143" i="8" s="1"/>
  <c r="B144" i="8" s="1"/>
  <c r="C144" i="8" s="1"/>
  <c r="H23" i="5" l="1"/>
  <c r="B24" i="5" s="1"/>
  <c r="H7" i="5"/>
  <c r="E5" i="7"/>
  <c r="E21" i="7" s="1"/>
  <c r="E12" i="5" s="1"/>
  <c r="G184" i="7"/>
  <c r="G188" i="7" s="1"/>
  <c r="G200" i="7" s="1"/>
  <c r="H167" i="7"/>
  <c r="H6" i="5" s="1"/>
  <c r="F81" i="7"/>
  <c r="G81" i="7" s="1"/>
  <c r="D31" i="7"/>
  <c r="D12" i="5"/>
  <c r="D13" i="5"/>
  <c r="H184" i="7"/>
  <c r="E80" i="7"/>
  <c r="D144" i="8"/>
  <c r="F144" i="8" s="1"/>
  <c r="B145" i="8" s="1"/>
  <c r="C145" i="8" s="1"/>
  <c r="D87" i="7" l="1"/>
  <c r="E84" i="7"/>
  <c r="E85" i="7" s="1"/>
  <c r="E86" i="7" s="1"/>
  <c r="E13" i="5"/>
  <c r="E31" i="7"/>
  <c r="F5" i="7"/>
  <c r="F21" i="7" s="1"/>
  <c r="F12" i="5" s="1"/>
  <c r="H82" i="7"/>
  <c r="E15" i="5"/>
  <c r="F80" i="7"/>
  <c r="H178" i="7"/>
  <c r="H188" i="7" s="1"/>
  <c r="H200" i="7" s="1"/>
  <c r="H83" i="7"/>
  <c r="E14" i="5"/>
  <c r="E16" i="5"/>
  <c r="E17" i="5" s="1"/>
  <c r="H81" i="7"/>
  <c r="H80" i="7" s="1"/>
  <c r="G80" i="7"/>
  <c r="D145" i="8"/>
  <c r="F145" i="8" s="1"/>
  <c r="B146" i="8" s="1"/>
  <c r="C146" i="8" s="1"/>
  <c r="F84" i="7" l="1"/>
  <c r="F85" i="7" s="1"/>
  <c r="G84" i="7"/>
  <c r="G85" i="7" s="1"/>
  <c r="G16" i="5" s="1"/>
  <c r="G17" i="5" s="1"/>
  <c r="H84" i="7"/>
  <c r="H85" i="7" s="1"/>
  <c r="H16" i="5" s="1"/>
  <c r="H17" i="5" s="1"/>
  <c r="F13" i="5"/>
  <c r="F31" i="7"/>
  <c r="E87" i="7"/>
  <c r="G5" i="7"/>
  <c r="H5" i="7" s="1"/>
  <c r="F15" i="5"/>
  <c r="F86" i="7"/>
  <c r="F16" i="5"/>
  <c r="F17" i="5" s="1"/>
  <c r="F14" i="5"/>
  <c r="D146" i="8"/>
  <c r="F146" i="8" s="1"/>
  <c r="B147" i="8" s="1"/>
  <c r="C147" i="8" s="1"/>
  <c r="F87" i="7" l="1"/>
  <c r="G86" i="7"/>
  <c r="H14" i="5"/>
  <c r="H86" i="7"/>
  <c r="G14" i="5"/>
  <c r="H15" i="5"/>
  <c r="H21" i="7"/>
  <c r="H31" i="7" s="1"/>
  <c r="G15" i="5"/>
  <c r="G21" i="7"/>
  <c r="D147" i="8"/>
  <c r="F147" i="8" s="1"/>
  <c r="B148" i="8" s="1"/>
  <c r="C148" i="8" s="1"/>
  <c r="H87" i="7" l="1"/>
  <c r="H13" i="5"/>
  <c r="H12" i="5"/>
  <c r="G12" i="5"/>
  <c r="G31" i="7"/>
  <c r="G13" i="5"/>
  <c r="D148" i="8"/>
  <c r="F148" i="8" s="1"/>
  <c r="B149" i="8" s="1"/>
  <c r="C149" i="8" s="1"/>
  <c r="G87" i="7" l="1"/>
  <c r="D149" i="8"/>
  <c r="F149" i="8" s="1"/>
  <c r="B150" i="8" s="1"/>
  <c r="C150" i="8" s="1"/>
  <c r="D150" i="8" l="1"/>
  <c r="F150" i="8" s="1"/>
  <c r="B151" i="8" s="1"/>
  <c r="C151" i="8" s="1"/>
  <c r="D151" i="8" l="1"/>
  <c r="F151" i="8" s="1"/>
  <c r="B152" i="8" s="1"/>
  <c r="C152" i="8" s="1"/>
  <c r="D152" i="8" l="1"/>
  <c r="F152" i="8" s="1"/>
  <c r="B153" i="8" s="1"/>
  <c r="C153" i="8" s="1"/>
  <c r="D153" i="8" l="1"/>
  <c r="F153" i="8" s="1"/>
  <c r="B154" i="8" s="1"/>
  <c r="C154" i="8" s="1"/>
  <c r="D154" i="8" l="1"/>
  <c r="F154" i="8" s="1"/>
  <c r="B155" i="8" s="1"/>
  <c r="C155" i="8" s="1"/>
  <c r="D155" i="8" l="1"/>
  <c r="F155" i="8" s="1"/>
  <c r="B156" i="8" s="1"/>
  <c r="C156" i="8" s="1"/>
  <c r="D156" i="8" l="1"/>
  <c r="F156" i="8" s="1"/>
  <c r="B157" i="8" s="1"/>
  <c r="C157" i="8" s="1"/>
  <c r="D157" i="8" l="1"/>
  <c r="F157" i="8" s="1"/>
  <c r="B158" i="8" s="1"/>
  <c r="C158" i="8" s="1"/>
  <c r="D158" i="8" l="1"/>
  <c r="F158" i="8" s="1"/>
  <c r="B159" i="8" s="1"/>
  <c r="C159" i="8" s="1"/>
  <c r="D159" i="8" l="1"/>
  <c r="F159" i="8" s="1"/>
  <c r="B160" i="8" s="1"/>
  <c r="C160" i="8" s="1"/>
  <c r="D160" i="8" l="1"/>
  <c r="F160" i="8" s="1"/>
  <c r="B161" i="8" s="1"/>
  <c r="C161" i="8" s="1"/>
  <c r="D161" i="8" l="1"/>
  <c r="F161" i="8" s="1"/>
  <c r="B162" i="8" s="1"/>
  <c r="C162" i="8" s="1"/>
  <c r="D162" i="8" l="1"/>
  <c r="F162" i="8" s="1"/>
  <c r="B163" i="8" s="1"/>
  <c r="C163" i="8" s="1"/>
  <c r="D163" i="8" l="1"/>
  <c r="F163" i="8" s="1"/>
  <c r="B164" i="8" s="1"/>
  <c r="C164" i="8" s="1"/>
  <c r="C34" i="4"/>
  <c r="D164" i="8" l="1"/>
  <c r="F164" i="8" s="1"/>
  <c r="B165" i="8" s="1"/>
  <c r="C165" i="8" s="1"/>
  <c r="C5" i="4"/>
  <c r="C8" i="4"/>
  <c r="C38" i="4"/>
  <c r="C33" i="4"/>
  <c r="C32" i="4"/>
  <c r="C39" i="4" s="1"/>
  <c r="B76" i="3"/>
  <c r="B75" i="3"/>
  <c r="C31" i="4"/>
  <c r="C30" i="4"/>
  <c r="C27" i="4"/>
  <c r="C26" i="4"/>
  <c r="C25" i="4"/>
  <c r="C15" i="4"/>
  <c r="C14" i="4"/>
  <c r="C4" i="4"/>
  <c r="D165" i="8" l="1"/>
  <c r="F165" i="8" s="1"/>
  <c r="B166" i="8" s="1"/>
  <c r="C166" i="8" s="1"/>
  <c r="D166" i="8" l="1"/>
  <c r="F166" i="8" s="1"/>
  <c r="B167" i="8" s="1"/>
  <c r="C167" i="8" s="1"/>
  <c r="D167" i="8" l="1"/>
  <c r="F167" i="8" s="1"/>
  <c r="B168" i="8" s="1"/>
  <c r="C168" i="8" s="1"/>
  <c r="D168" i="8" l="1"/>
  <c r="F168" i="8" s="1"/>
  <c r="B169" i="8" s="1"/>
  <c r="C169" i="8" s="1"/>
  <c r="D169" i="8" l="1"/>
  <c r="F169" i="8" s="1"/>
  <c r="C170" i="8"/>
  <c r="C106" i="2" l="1"/>
  <c r="B106" i="2"/>
  <c r="C13" i="4"/>
  <c r="B94" i="2"/>
  <c r="B95" i="2" s="1"/>
  <c r="C105" i="2" l="1"/>
  <c r="C104" i="2" s="1"/>
  <c r="B105" i="2"/>
  <c r="B104" i="2" s="1"/>
  <c r="B108" i="2" s="1"/>
  <c r="B78" i="3"/>
  <c r="B98" i="2" l="1"/>
  <c r="B82" i="3"/>
</calcChain>
</file>

<file path=xl/sharedStrings.xml><?xml version="1.0" encoding="utf-8"?>
<sst xmlns="http://schemas.openxmlformats.org/spreadsheetml/2006/main" count="851" uniqueCount="407">
  <si>
    <t>Estado de situación financiera</t>
  </si>
  <si>
    <t>LOGTRANS SAS</t>
  </si>
  <si>
    <t>901.713.350-1</t>
  </si>
  <si>
    <t>Hasta junio 2024</t>
  </si>
  <si>
    <t>Valores expresados en pesos colombianos</t>
  </si>
  <si>
    <t>Cuenta</t>
  </si>
  <si>
    <t>2024</t>
  </si>
  <si>
    <t>Análisis vertical (%)</t>
  </si>
  <si>
    <t>2023</t>
  </si>
  <si>
    <t>ACTIVO</t>
  </si>
  <si>
    <t/>
  </si>
  <si>
    <t>ACTIVO CORRIENTE</t>
  </si>
  <si>
    <t>Efectivo y equivalentes de efectivo</t>
  </si>
  <si>
    <t>11050501 Caja general</t>
  </si>
  <si>
    <t>11100501 Moneda nacional</t>
  </si>
  <si>
    <t>11200501 Bancolombia 4851</t>
  </si>
  <si>
    <t>Cuentas comerciales por cobrar y otras cuentas por cobrar corrientes</t>
  </si>
  <si>
    <t>13050501 Clientes nacionales</t>
  </si>
  <si>
    <t>13251001 A accionistas</t>
  </si>
  <si>
    <t>13300501 A proveedores</t>
  </si>
  <si>
    <t>13809502 Otros deudores</t>
  </si>
  <si>
    <t>Inventarios corrientes</t>
  </si>
  <si>
    <t>14350101 Mercancías no fabricadas</t>
  </si>
  <si>
    <t>Activos por impuesto corriente, corriente</t>
  </si>
  <si>
    <t>13551519 Autorretencin</t>
  </si>
  <si>
    <t>13551801 Rete Ica 11,04</t>
  </si>
  <si>
    <t>13551803 Rete Ica 13,08</t>
  </si>
  <si>
    <t>13551805 Rete Ica 9,66</t>
  </si>
  <si>
    <t>Total ACTIVO CORRIENTE</t>
  </si>
  <si>
    <t>ACTIVO NO CORRIENTE</t>
  </si>
  <si>
    <t>Propiedad planta y equipo</t>
  </si>
  <si>
    <t>15400501 Camiones, Volquetes y Furgones</t>
  </si>
  <si>
    <t>154008 Camiones, Volquetas y Furgones</t>
  </si>
  <si>
    <t>15923501 Flota y equipo de transporte</t>
  </si>
  <si>
    <t>Activos por impuestos corrientes, no corriente</t>
  </si>
  <si>
    <t>13551517 Anticipo Retención en la fuente 1%</t>
  </si>
  <si>
    <t>13551518 Devolución Retención en la fuente 1%</t>
  </si>
  <si>
    <t>Total ACTIVO NO CORRIENTE</t>
  </si>
  <si>
    <t>Total ACTIVO</t>
  </si>
  <si>
    <t>PASIVO</t>
  </si>
  <si>
    <t>PASIVO CORRIENTE</t>
  </si>
  <si>
    <t>Cuentas por pagar comerciales y otras cuentas por pagar</t>
  </si>
  <si>
    <t>22050501 Proveedores nacionales</t>
  </si>
  <si>
    <t>23359501 Otros</t>
  </si>
  <si>
    <t>235510 Socios</t>
  </si>
  <si>
    <t>25050501 Salarios por pagar</t>
  </si>
  <si>
    <t>2510100102 Cesantías</t>
  </si>
  <si>
    <t>2510100202 Intereses sobre cesantías</t>
  </si>
  <si>
    <t>2510100302 Vacaciones</t>
  </si>
  <si>
    <t>2510100401 Prima de servicios</t>
  </si>
  <si>
    <t>2510100402 Prima de servicios</t>
  </si>
  <si>
    <t>Pasivos por impuestos corrientes, corriente</t>
  </si>
  <si>
    <t>23652503 Servicios 4%</t>
  </si>
  <si>
    <t>23652505 Servicios  1 %</t>
  </si>
  <si>
    <t>23652506 Devolución servicios  1 %</t>
  </si>
  <si>
    <t>23654001 Retención por compras 2,5%</t>
  </si>
  <si>
    <t>23657501 Autorretenciones</t>
  </si>
  <si>
    <t>236590 Pago impuestos</t>
  </si>
  <si>
    <t>23680501 Reteica 11,04</t>
  </si>
  <si>
    <t>23680503 Reteica 13,8</t>
  </si>
  <si>
    <t>24081001 Iva descontable por compras 19%</t>
  </si>
  <si>
    <t>24081002 Iva Devolución en compras 19%</t>
  </si>
  <si>
    <t>24081003 Iva descontable por compras 5%</t>
  </si>
  <si>
    <t>24950103 Impuesto al consumo en compras</t>
  </si>
  <si>
    <t>Otros pasivos no financieros corrientes</t>
  </si>
  <si>
    <t>23700501 Aportes a entidades promotoras de salud eps</t>
  </si>
  <si>
    <t>23700601 Aporte a administradoras de riesgos profesionales, ARL</t>
  </si>
  <si>
    <t>23701001 Aportes al icbf Sena y cajas de compensación</t>
  </si>
  <si>
    <t>23701002 Sena</t>
  </si>
  <si>
    <t>23701003 Icbf</t>
  </si>
  <si>
    <t>237099 Aportes a empresas promotoras de salud eps por pag</t>
  </si>
  <si>
    <t>238099 Fondos de cesantías y/o pensiones por pagar</t>
  </si>
  <si>
    <t>Total PASIVO CORRIENTE</t>
  </si>
  <si>
    <t>PASIVO NO CORRIENTE</t>
  </si>
  <si>
    <t>Otros pasivos financieros no corrientes</t>
  </si>
  <si>
    <t>21051003 Prestamos Cooperativa CrearCoop</t>
  </si>
  <si>
    <t>23050502 Cuentas Corrientes Comerciales DAVIVIENDA</t>
  </si>
  <si>
    <t>Otros pasivos no financieros no corrientes</t>
  </si>
  <si>
    <t>23803001 Fondos de cesantías y/o pensiones</t>
  </si>
  <si>
    <t>28050501 De clientes</t>
  </si>
  <si>
    <t>Total PASIVO NO CORRIENTE</t>
  </si>
  <si>
    <t>Total PASIVO</t>
  </si>
  <si>
    <t>PATRIMONIO</t>
  </si>
  <si>
    <t>Capital emitido</t>
  </si>
  <si>
    <t>31050501 Capital autorizado</t>
  </si>
  <si>
    <t>Ganancias acumuladas</t>
  </si>
  <si>
    <t>360505 Utilidad del ejercicio</t>
  </si>
  <si>
    <t>Resultado del Ejercicio</t>
  </si>
  <si>
    <t>Utilidad/Pérdida del ejercicio</t>
  </si>
  <si>
    <t>Total PATRIMONIO</t>
  </si>
  <si>
    <t>Total PASIVO Y PATRIMONIO</t>
  </si>
  <si>
    <t>Variación relativa</t>
  </si>
  <si>
    <t>Variación absoluta</t>
  </si>
  <si>
    <t>GANANCIA (PÉRDIDA)</t>
  </si>
  <si>
    <t>GANANCIA (PÉRDIDA) PROCEDENTE DE OPERACIONES CONTINUADAS</t>
  </si>
  <si>
    <t>51150501 Industria y comercio</t>
  </si>
  <si>
    <t>Ingreso (gasto) por impuestos</t>
  </si>
  <si>
    <t>GANANCIA (PÉRDIDA), ANTES DE IMPUESTOS</t>
  </si>
  <si>
    <t>42100505 Intereses  bancarios</t>
  </si>
  <si>
    <t>Ingresos financieros</t>
  </si>
  <si>
    <t>GANANCIA (PÉRDIDA) POR ACTIVIDADES DE OPERACIÓN</t>
  </si>
  <si>
    <t>72057201 Aportes cajas de compensación familiar</t>
  </si>
  <si>
    <t>72057001 Aporte a fondos de pensión y/o cesantías</t>
  </si>
  <si>
    <t>72056801 Aportes a administradora de riesgos laborales</t>
  </si>
  <si>
    <t>72053901 Vacaciones</t>
  </si>
  <si>
    <t>72053601 Prima de servicios</t>
  </si>
  <si>
    <t>72053301 Intereses sobre cesantías</t>
  </si>
  <si>
    <t>72053001 Cesantías</t>
  </si>
  <si>
    <t>72050601 Sueldos</t>
  </si>
  <si>
    <t>53152001 Gravamen al movimiento financiero</t>
  </si>
  <si>
    <t>53051501 Comisiones</t>
  </si>
  <si>
    <t>53050501 Gastos bancarios</t>
  </si>
  <si>
    <t>51956501 Parqueaderos</t>
  </si>
  <si>
    <t>51953501 Combustibles y lubricantes</t>
  </si>
  <si>
    <t>51953001 Útiles papelería y fotocopias</t>
  </si>
  <si>
    <t>51952501 Elementos de aseo y cafetería</t>
  </si>
  <si>
    <t>51452501 Mantenimiento - Equipo de computación y comunicación</t>
  </si>
  <si>
    <t>51451001 Mantenimientos - Construcciones y edificaciones</t>
  </si>
  <si>
    <t>51450501 Flota y equipo de transporte</t>
  </si>
  <si>
    <t>51401501 Tramites y licencias</t>
  </si>
  <si>
    <t>51353501 Servicios públicos - Teléfono</t>
  </si>
  <si>
    <t>51352001 Servicios - Procesamiento electrónico de datos</t>
  </si>
  <si>
    <t>51350501 Servicios - Aseo y vigilancia</t>
  </si>
  <si>
    <t>513095 Otros</t>
  </si>
  <si>
    <t>51304001 Flota y equipo de transporte</t>
  </si>
  <si>
    <t>51303001 Seguros - Terremoto</t>
  </si>
  <si>
    <t>51251001 Afiliaciones y sostenimiento</t>
  </si>
  <si>
    <t>51102501 Honorarios - Asesoría jurídica</t>
  </si>
  <si>
    <t>Otros gastos</t>
  </si>
  <si>
    <t>51353503 Servicios públicos - Internet</t>
  </si>
  <si>
    <t>51057801 Aportes Sena</t>
  </si>
  <si>
    <t>51057501 Aportes icbf</t>
  </si>
  <si>
    <t>51057201 Aportes cajas de compensación familiar</t>
  </si>
  <si>
    <t>51057001 Aporte a fondos de pensión y/o cesantías</t>
  </si>
  <si>
    <t>51056901 Aportes a entidades promotoras de salud eps</t>
  </si>
  <si>
    <t>51056801 Aportes a administradora de riesgos laborales</t>
  </si>
  <si>
    <t>51053901 Vacaciones</t>
  </si>
  <si>
    <t>51053601 Prima de servicios</t>
  </si>
  <si>
    <t>51053301 Intereses sobre cesantías</t>
  </si>
  <si>
    <t>51053001 Cesantías</t>
  </si>
  <si>
    <t>51052701 Auxilio de transporte</t>
  </si>
  <si>
    <t>51050601 Sueldos</t>
  </si>
  <si>
    <t>Gastos de administración</t>
  </si>
  <si>
    <t>513560 Mantenimiento y reparaciones</t>
  </si>
  <si>
    <t>51355005 Transporte fletes y acarreos</t>
  </si>
  <si>
    <t>513510 Temporales</t>
  </si>
  <si>
    <t>51307505 Obligatorio accidente de transito</t>
  </si>
  <si>
    <t>Gastos de ventas</t>
  </si>
  <si>
    <t>42958101 Ajuste al peso</t>
  </si>
  <si>
    <t>425010 Recuperación de seguros</t>
  </si>
  <si>
    <t>42104001 Descuentos comerciales condicionados</t>
  </si>
  <si>
    <t>Otros ingresos</t>
  </si>
  <si>
    <t>GANANCIA BRUTA</t>
  </si>
  <si>
    <t>41750501 Devolución en ventas</t>
  </si>
  <si>
    <t>41350101 Comercio al por mayor y al detal</t>
  </si>
  <si>
    <t>Ingresos de actividades ordinarias</t>
  </si>
  <si>
    <t>Del 01 de enero al 30 de junio de 2024</t>
  </si>
  <si>
    <t>Estado de Resultados Integral</t>
  </si>
  <si>
    <t>Capital de trabajo</t>
  </si>
  <si>
    <t>Capital de Trabajo</t>
  </si>
  <si>
    <t>PKTNO</t>
  </si>
  <si>
    <t>Margen Ebitda</t>
  </si>
  <si>
    <t>Depreciación y Amortizaciónes</t>
  </si>
  <si>
    <t>EBITDA</t>
  </si>
  <si>
    <t>Palanca de crecimiento</t>
  </si>
  <si>
    <t>Ebitda</t>
  </si>
  <si>
    <t>Cambio en KTNO</t>
  </si>
  <si>
    <t xml:space="preserve"> - impuesto operativo</t>
  </si>
  <si>
    <t>Flujo de caja operativo</t>
  </si>
  <si>
    <t>Cuentas por cobrar aproximadas propietarios vehiculos</t>
  </si>
  <si>
    <t>NOPAT</t>
  </si>
  <si>
    <t>CAPITAL INVERTIDO</t>
  </si>
  <si>
    <t>Activos fijos</t>
  </si>
  <si>
    <t>ROIC</t>
  </si>
  <si>
    <t>Índices Financieros</t>
  </si>
  <si>
    <t>Liquidez</t>
  </si>
  <si>
    <t>Razón Corriente</t>
  </si>
  <si>
    <t>Prueba Ácida</t>
  </si>
  <si>
    <t>Actividad</t>
  </si>
  <si>
    <t>Rotación Cuentas por Cobrar</t>
  </si>
  <si>
    <t>Días Cuentas por Cobrar</t>
  </si>
  <si>
    <t>Rotación Inventarios</t>
  </si>
  <si>
    <t>Días Inventarios</t>
  </si>
  <si>
    <t>Rotación Cuentas por Pagar</t>
  </si>
  <si>
    <t>Días Cuentas por Pagar</t>
  </si>
  <si>
    <t>Rotación Capital de Trabajo</t>
  </si>
  <si>
    <t>Días  Capital de Trabajo</t>
  </si>
  <si>
    <t>Rotación Activos Fijos</t>
  </si>
  <si>
    <t>Rotación Activos Totales</t>
  </si>
  <si>
    <t>Endeudamiento</t>
  </si>
  <si>
    <t>Nivel de Endeudamiento</t>
  </si>
  <si>
    <t>Concentración del Endeudamiento a Corto Plazo</t>
  </si>
  <si>
    <t>Cubrimiento de Intereses</t>
  </si>
  <si>
    <t>Apalancamiento a Corto Plazo</t>
  </si>
  <si>
    <t>Apalancamiento Total (Act/Pat)</t>
  </si>
  <si>
    <t>Apalancamiento Total (Pas/Pat)</t>
  </si>
  <si>
    <t>Apalancamiento Financiero Total</t>
  </si>
  <si>
    <t>Rentabilidad</t>
  </si>
  <si>
    <t>Margen Bruto</t>
  </si>
  <si>
    <t>Margen Operacional</t>
  </si>
  <si>
    <t>Margen Neto</t>
  </si>
  <si>
    <t>ROI</t>
  </si>
  <si>
    <t>ROE</t>
  </si>
  <si>
    <t>Du-Pont</t>
  </si>
  <si>
    <t>Rotación de Activos Totales</t>
  </si>
  <si>
    <t>GANANCIA NETA</t>
  </si>
  <si>
    <t>IMPUESTO PROYECTADO</t>
  </si>
  <si>
    <t>2024-1S</t>
  </si>
  <si>
    <t>2024-2S</t>
  </si>
  <si>
    <t>2025-1S</t>
  </si>
  <si>
    <t>2025-2S</t>
  </si>
  <si>
    <t>2026-1S</t>
  </si>
  <si>
    <t>2026-2S</t>
  </si>
  <si>
    <t>Costo de ventas</t>
  </si>
  <si>
    <t>620501 De Mercancia no Fabricada en la Empresa</t>
  </si>
  <si>
    <t>42505001 Reintegro de costos y gastos</t>
  </si>
  <si>
    <t>51400501 Notariales</t>
  </si>
  <si>
    <t>51954501 Taxis y buses</t>
  </si>
  <si>
    <t>53152002 Otros impuestos asumidos</t>
  </si>
  <si>
    <t>SUPUESTOS</t>
  </si>
  <si>
    <t>Año base</t>
  </si>
  <si>
    <t>Valor hora promedio camión doble cabina</t>
  </si>
  <si>
    <t>Hora</t>
  </si>
  <si>
    <t>Minimo de horas por día según contratos</t>
  </si>
  <si>
    <t>Horas</t>
  </si>
  <si>
    <t>Minimo de días facturados en Mes</t>
  </si>
  <si>
    <t>Días</t>
  </si>
  <si>
    <t>Facturación promedio Menual por camión</t>
  </si>
  <si>
    <t>Mensual</t>
  </si>
  <si>
    <t>Valor Camión Doble cabina 2025</t>
  </si>
  <si>
    <t>Canon de arrendamiento Renting Colombia</t>
  </si>
  <si>
    <t>Periodo de Arrendamiento</t>
  </si>
  <si>
    <t>Meses</t>
  </si>
  <si>
    <t>Crecimiento PIB</t>
  </si>
  <si>
    <t>Inflación</t>
  </si>
  <si>
    <t>Facturación Promedio Semestral por camión</t>
  </si>
  <si>
    <t>Semestral</t>
  </si>
  <si>
    <t>Promedio Seguro frente a los ingresos</t>
  </si>
  <si>
    <t>Compra de vehiculos</t>
  </si>
  <si>
    <t>Arrendamiento de camiones</t>
  </si>
  <si>
    <t>Proyección Valor camión Doble cabina</t>
  </si>
  <si>
    <t>Arrendamiendo Renting Colombia</t>
  </si>
  <si>
    <t>Anual</t>
  </si>
  <si>
    <t>Depreciación Linea recta Anual</t>
  </si>
  <si>
    <t>Depreciación Linea Recta Semestral</t>
  </si>
  <si>
    <t>Descuentos comerciales promedio</t>
  </si>
  <si>
    <t>Gastos Por Transporte Fletes o Acarreos</t>
  </si>
  <si>
    <t>Porcentaje proyectado en Repuestos</t>
  </si>
  <si>
    <t>A partir del año 2026</t>
  </si>
  <si>
    <t>Gasto arrendamiento de vehiculos</t>
  </si>
  <si>
    <t>Acumulado por semestre vehiculo arrendado</t>
  </si>
  <si>
    <t>Combustible frente a Ingresos Mensual</t>
  </si>
  <si>
    <t>Cantidad de Camiones 2024 -1S</t>
  </si>
  <si>
    <t>Cantidad de camiones</t>
  </si>
  <si>
    <t>Ingresos Proyectados sin Aumento de camiones</t>
  </si>
  <si>
    <t>Gastos Transporte Fleter o Acarreos</t>
  </si>
  <si>
    <t>Mano De Obra</t>
  </si>
  <si>
    <t>Repuestos</t>
  </si>
  <si>
    <t>Proporcion</t>
  </si>
  <si>
    <t>Nomina + Seguridad social 1 Mes</t>
  </si>
  <si>
    <t>Ingresos proyectados promedio semestral</t>
  </si>
  <si>
    <t>Recargo Horas extras</t>
  </si>
  <si>
    <t>Impuesto Corriente</t>
  </si>
  <si>
    <t>CUADRE</t>
  </si>
  <si>
    <t>Politica Rotación de cuentas por pagar</t>
  </si>
  <si>
    <t>Prestamo Vehicular</t>
  </si>
  <si>
    <t>Valor Prestado</t>
  </si>
  <si>
    <r>
      <t>Tasa de interes - i</t>
    </r>
    <r>
      <rPr>
        <vertAlign val="subscript"/>
        <sz val="11"/>
        <color theme="1"/>
        <rFont val="Calibri"/>
        <family val="2"/>
        <scheme val="minor"/>
      </rPr>
      <t>M</t>
    </r>
  </si>
  <si>
    <t>M</t>
  </si>
  <si>
    <t>Cuota o Pago</t>
  </si>
  <si>
    <t>Numero Periodos</t>
  </si>
  <si>
    <t>Periodos</t>
  </si>
  <si>
    <t>Saldo inicial</t>
  </si>
  <si>
    <t>Interes</t>
  </si>
  <si>
    <t>Abono</t>
  </si>
  <si>
    <t>Cuota</t>
  </si>
  <si>
    <t>Saldo Final</t>
  </si>
  <si>
    <t>Tasa de impuestos</t>
  </si>
  <si>
    <t>PROYECCIÓN VENTAS</t>
  </si>
  <si>
    <t>PROYECCIÓN COSTOS</t>
  </si>
  <si>
    <t>PROYECCIÓN CUENTAS POR COBRAR</t>
  </si>
  <si>
    <t>Rotación Cuentas por cobrar</t>
  </si>
  <si>
    <t>PROYECCIÓN CUENTAS POR PAGAR</t>
  </si>
  <si>
    <t>Depreciacion</t>
  </si>
  <si>
    <t>15923501 Depreciacion Flota y equipo de transporte</t>
  </si>
  <si>
    <t>PROYECCIÓN ACTIVOS POR IMPUESTOS CORRIENTES</t>
  </si>
  <si>
    <t>Frente a ingresos</t>
  </si>
  <si>
    <t>Promedio</t>
  </si>
  <si>
    <t>PROYECCIÓN PASIVOS POR IMPUESTOS CORRIENTES</t>
  </si>
  <si>
    <t>Depreciation &amp; Amortization</t>
  </si>
  <si>
    <t>Change in Accounts Receivable</t>
  </si>
  <si>
    <t>Change in Inventories</t>
  </si>
  <si>
    <t>Change in Accounts Payable</t>
  </si>
  <si>
    <t>Operating Cash Flow</t>
  </si>
  <si>
    <t>Investment in PP&amp;E</t>
  </si>
  <si>
    <t>Investment in Other Assets</t>
  </si>
  <si>
    <t>Investment in Land</t>
  </si>
  <si>
    <t>Investing Cash Flow</t>
  </si>
  <si>
    <t>Debt Issuance</t>
  </si>
  <si>
    <t>Retirement of Debt</t>
  </si>
  <si>
    <t>Dividends</t>
  </si>
  <si>
    <t>Financing Cash Flow</t>
  </si>
  <si>
    <t>Change in Cash</t>
  </si>
  <si>
    <t>51603501 Dep Flota y equipo de transporte</t>
  </si>
  <si>
    <t>IMPUESTOS PROYECTADOS</t>
  </si>
  <si>
    <t>Impuesto No corriente</t>
  </si>
  <si>
    <t>Pasivos por impuestos corrientes</t>
  </si>
  <si>
    <t>Otros Pasivos No financieros Corrientes</t>
  </si>
  <si>
    <t>Otros Pasivos No financieros No Corrientes</t>
  </si>
  <si>
    <t>Ingresos Netos</t>
  </si>
  <si>
    <t>Margen EBITDA</t>
  </si>
  <si>
    <t xml:space="preserve">  Nopat </t>
  </si>
  <si>
    <t xml:space="preserve">      Capital de trabajo neto operativo</t>
  </si>
  <si>
    <t xml:space="preserve">      Activos Fijos</t>
  </si>
  <si>
    <t>Liquidez Corriente</t>
  </si>
  <si>
    <t>Prueba Acida</t>
  </si>
  <si>
    <t>Deuda/Equity</t>
  </si>
  <si>
    <t>Deuda Neta /EBITDA</t>
  </si>
  <si>
    <t xml:space="preserve">% Deuda </t>
  </si>
  <si>
    <t xml:space="preserve">% Equity </t>
  </si>
  <si>
    <t>Cobertura</t>
  </si>
  <si>
    <t>CICLO DE EFECTIVO</t>
  </si>
  <si>
    <t>Impuesto Renta</t>
  </si>
  <si>
    <t>Descripción</t>
  </si>
  <si>
    <t>Valor</t>
  </si>
  <si>
    <t xml:space="preserve">Proyección Aumento de vehiculos </t>
  </si>
  <si>
    <t xml:space="preserve"> Costo de Capital</t>
  </si>
  <si>
    <t xml:space="preserve"> Estimación Costo de Capital</t>
  </si>
  <si>
    <t>Tasa Libre de Riesgo</t>
  </si>
  <si>
    <t>Rf</t>
  </si>
  <si>
    <t>Beta Desapalancado Sector (Acero)</t>
  </si>
  <si>
    <t>Bu</t>
  </si>
  <si>
    <t>Beta Apalancado Empresa</t>
  </si>
  <si>
    <t>BL</t>
  </si>
  <si>
    <t>Prima de Riesgo de Mercado</t>
  </si>
  <si>
    <t>ERP</t>
  </si>
  <si>
    <t>Riesgo País</t>
  </si>
  <si>
    <t>Rp</t>
  </si>
  <si>
    <t>Ke USD Nominal</t>
  </si>
  <si>
    <t>Kd COP Nominal</t>
  </si>
  <si>
    <t>%D</t>
  </si>
  <si>
    <t>Wd</t>
  </si>
  <si>
    <t>%E</t>
  </si>
  <si>
    <t>We</t>
  </si>
  <si>
    <t>Impuestos</t>
  </si>
  <si>
    <t>t</t>
  </si>
  <si>
    <t>Devaluación Esperada</t>
  </si>
  <si>
    <t>Dev Esp</t>
  </si>
  <si>
    <t>WACC COP Nominal</t>
  </si>
  <si>
    <t>WACC</t>
  </si>
  <si>
    <t>Desarrollo ejercicio</t>
  </si>
  <si>
    <t>WACC = %E*Ke + %D*Kd(1-Tx)</t>
  </si>
  <si>
    <t>Tx</t>
  </si>
  <si>
    <t>Equity</t>
  </si>
  <si>
    <t>Déuda</t>
  </si>
  <si>
    <t>% E</t>
  </si>
  <si>
    <t>% D</t>
  </si>
  <si>
    <t>Kd</t>
  </si>
  <si>
    <t>ACCIÓNES ORDINARIAS</t>
  </si>
  <si>
    <t>E[Rf] =</t>
  </si>
  <si>
    <t xml:space="preserve">Tomado de Investing </t>
  </si>
  <si>
    <t>https://es.investing.com/rates-bonds/u.s.-10-year-bond-yield</t>
  </si>
  <si>
    <t>BL Sector=</t>
  </si>
  <si>
    <t>Tx Sector=</t>
  </si>
  <si>
    <t>Tomado de Damodarán</t>
  </si>
  <si>
    <t>https://pages.stern.nyu.edu/~adamodar/New_Home_Page/datafile/Betas.html</t>
  </si>
  <si>
    <t>D/E Sector</t>
  </si>
  <si>
    <t>Bu Sector=</t>
  </si>
  <si>
    <t>*Se calcula la Bu del sector porque Damodarán utilizó la efectiva y nosotros utilizaremos la nominal</t>
  </si>
  <si>
    <t>% Cash/EV =</t>
  </si>
  <si>
    <t>Badj caja=</t>
  </si>
  <si>
    <t>BL Empresa =</t>
  </si>
  <si>
    <t>E[Rm] - E[Rf]=</t>
  </si>
  <si>
    <t>https://www.stern.nyu.edu/~adamodar/pc/datasets/histretSP.xls</t>
  </si>
  <si>
    <t>Prima de Riesgo País =</t>
  </si>
  <si>
    <t>E[Ke] =</t>
  </si>
  <si>
    <t>Dolares</t>
  </si>
  <si>
    <t>Fecha</t>
  </si>
  <si>
    <t>Interpolación Yankees 10Y</t>
  </si>
  <si>
    <t>Plazo al Vto</t>
  </si>
  <si>
    <t>YTM</t>
  </si>
  <si>
    <t>Interpolación TES Col 10Y</t>
  </si>
  <si>
    <t>Fechas</t>
  </si>
  <si>
    <t xml:space="preserve">Plazo al vencimiento </t>
  </si>
  <si>
    <t>Paridad Cambiaria</t>
  </si>
  <si>
    <t>Bono Colombiano TES</t>
  </si>
  <si>
    <t>Bono USD Yankee</t>
  </si>
  <si>
    <t>Spread (Devaluación 10Y)</t>
  </si>
  <si>
    <t>Pesos</t>
  </si>
  <si>
    <t>WACC=</t>
  </si>
  <si>
    <t>Industria:Transporte</t>
  </si>
  <si>
    <t>EVA</t>
  </si>
  <si>
    <t xml:space="preserve">  Capital Invertido</t>
  </si>
  <si>
    <t>CAGR</t>
  </si>
  <si>
    <t>Tabla de amortizacion Credito 2025-1S</t>
  </si>
  <si>
    <t xml:space="preserve">Z-SCORE EDWARD ALTMAN </t>
  </si>
  <si>
    <t>Z= 6.56 X1 + 3.26 X2 + 6.72 X3 + 1.05 X4</t>
  </si>
  <si>
    <t>Evaluación</t>
  </si>
  <si>
    <t>X1= KTNO/Activos Total</t>
  </si>
  <si>
    <t>X2= (Reservas + Utilidad Retenia + Utilidad Ejercicio) / Activos</t>
  </si>
  <si>
    <t>X3 = Utilidad Operacional - EBIT / Activos</t>
  </si>
  <si>
    <t>X4 = Patrimonio / Pasivo</t>
  </si>
  <si>
    <t>Z=</t>
  </si>
  <si>
    <t>X1= KTNO/Capital Invertido</t>
  </si>
  <si>
    <t>X2= (Reservas + Utilidad Retenida + Utilidad Ejercicio) / Capital Invertido</t>
  </si>
  <si>
    <t>X3 = EBIT / Capital Invertido</t>
  </si>
  <si>
    <t>Z 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</si>
</sst>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0.0%"/>
    <numFmt numFmtId="165" formatCode="_-&quot;$&quot;\ * #,##0_-;\-&quot;$&quot;\ * #,##0_-;_-&quot;$&quot;\ * &quot;-&quot;??_-;_-@_-"/>
    <numFmt numFmtId="166" formatCode="0.000%"/>
    <numFmt numFmtId="167" formatCode="_(* #,##0_);_(* \(#,##0\);_(* &quot;-&quot;??_);_(@_)"/>
    <numFmt numFmtId="168" formatCode="0.0"/>
    <numFmt numFmtId="169" formatCode="&quot;$&quot;\ #,##0.0000;[Red]\-&quot;$&quot;\ #,##0.0000"/>
  </numFmts>
  <fonts count="32" x14ac:knownFonts="1">
    <font>
      <sz val="10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2"/>
      <color rgb="FF333333"/>
      <name val="Calibri"/>
      <family val="2"/>
    </font>
    <font>
      <b/>
      <sz val="30"/>
      <color rgb="FFFFFFFF"/>
      <name val="Calibri"/>
      <family val="2"/>
    </font>
    <font>
      <b/>
      <sz val="11"/>
      <color rgb="FF333333"/>
      <name val="Calibri"/>
      <family val="2"/>
    </font>
    <font>
      <b/>
      <sz val="10"/>
      <color rgb="FF333333"/>
      <name val="Times New Roman"/>
      <family val="1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i/>
      <u/>
      <sz val="10"/>
      <name val="Arial"/>
      <family val="2"/>
    </font>
    <font>
      <b/>
      <sz val="10"/>
      <name val="Arial"/>
      <family val="2"/>
    </font>
    <font>
      <b/>
      <sz val="10"/>
      <name val="Century Gothic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vertAlign val="subscript"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Verdana"/>
      <family val="2"/>
    </font>
    <font>
      <b/>
      <sz val="9"/>
      <name val="Verdana"/>
      <family val="2"/>
    </font>
    <font>
      <sz val="11"/>
      <color indexed="8"/>
      <name val="Calibri"/>
      <family val="2"/>
    </font>
    <font>
      <sz val="9"/>
      <color indexed="8"/>
      <name val="Verdana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10"/>
      <name val="Calibri"/>
    </font>
    <font>
      <i/>
      <sz val="11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b/>
      <sz val="14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00AAE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rgb="FF333333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0" fontId="17" fillId="0" borderId="0"/>
    <xf numFmtId="0" fontId="20" fillId="0" borderId="0"/>
    <xf numFmtId="0" fontId="24" fillId="0" borderId="0" applyNumberFormat="0" applyFill="0" applyBorder="0" applyAlignment="0" applyProtection="0"/>
  </cellStyleXfs>
  <cellXfs count="160">
    <xf numFmtId="0" fontId="0" fillId="0" borderId="0" xfId="0"/>
    <xf numFmtId="0" fontId="4" fillId="0" borderId="1" xfId="0" applyFont="1" applyFill="1" applyBorder="1" applyAlignment="1">
      <alignment horizontal="center" vertical="center"/>
    </xf>
    <xf numFmtId="4" fontId="0" fillId="0" borderId="0" xfId="0" applyNumberFormat="1"/>
    <xf numFmtId="4" fontId="6" fillId="0" borderId="0" xfId="0" applyNumberFormat="1" applyFont="1"/>
    <xf numFmtId="0" fontId="7" fillId="0" borderId="0" xfId="0" applyFont="1" applyAlignment="1">
      <alignment horizontal="center" vertical="top"/>
    </xf>
    <xf numFmtId="49" fontId="0" fillId="0" borderId="0" xfId="0" applyNumberFormat="1" applyAlignment="1">
      <alignment vertical="center" wrapText="1"/>
    </xf>
    <xf numFmtId="49" fontId="8" fillId="0" borderId="0" xfId="0" applyNumberFormat="1" applyFont="1"/>
    <xf numFmtId="49" fontId="0" fillId="0" borderId="0" xfId="0" applyNumberFormat="1" applyAlignment="1">
      <alignment wrapText="1" indent="1"/>
    </xf>
    <xf numFmtId="49" fontId="8" fillId="0" borderId="0" xfId="0" applyNumberFormat="1" applyFont="1" applyAlignment="1">
      <alignment wrapText="1" indent="1"/>
    </xf>
    <xf numFmtId="49" fontId="0" fillId="0" borderId="0" xfId="0" applyNumberFormat="1" applyAlignment="1">
      <alignment wrapText="1" indent="3"/>
    </xf>
    <xf numFmtId="49" fontId="0" fillId="0" borderId="0" xfId="0" applyNumberFormat="1" applyAlignment="1">
      <alignment wrapText="1" indent="5"/>
    </xf>
    <xf numFmtId="10" fontId="0" fillId="0" borderId="0" xfId="0" applyNumberFormat="1"/>
    <xf numFmtId="10" fontId="8" fillId="0" borderId="0" xfId="0" applyNumberFormat="1" applyFont="1"/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right"/>
    </xf>
    <xf numFmtId="9" fontId="0" fillId="0" borderId="0" xfId="3" applyFont="1"/>
    <xf numFmtId="164" fontId="0" fillId="0" borderId="0" xfId="3" applyNumberFormat="1" applyFont="1"/>
    <xf numFmtId="10" fontId="0" fillId="0" borderId="0" xfId="3" applyNumberFormat="1" applyFont="1"/>
    <xf numFmtId="0" fontId="7" fillId="0" borderId="0" xfId="0" applyFont="1" applyAlignment="1">
      <alignment horizontal="right" vertical="top"/>
    </xf>
    <xf numFmtId="3" fontId="0" fillId="0" borderId="0" xfId="0" applyNumberFormat="1"/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40" fontId="0" fillId="0" borderId="0" xfId="1" applyNumberFormat="1" applyFon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10" fontId="0" fillId="0" borderId="0" xfId="3" applyNumberFormat="1" applyFont="1" applyAlignment="1">
      <alignment vertical="center"/>
    </xf>
    <xf numFmtId="2" fontId="0" fillId="0" borderId="0" xfId="1" applyNumberFormat="1" applyFont="1" applyAlignment="1">
      <alignment vertical="center"/>
    </xf>
    <xf numFmtId="0" fontId="12" fillId="0" borderId="0" xfId="0" applyFont="1" applyAlignment="1">
      <alignment vertical="center"/>
    </xf>
    <xf numFmtId="2" fontId="0" fillId="0" borderId="0" xfId="0" applyNumberFormat="1"/>
    <xf numFmtId="9" fontId="0" fillId="0" borderId="0" xfId="3" applyNumberFormat="1" applyFont="1" applyAlignment="1">
      <alignment vertical="center"/>
    </xf>
    <xf numFmtId="0" fontId="14" fillId="0" borderId="0" xfId="0" applyFont="1"/>
    <xf numFmtId="0" fontId="15" fillId="0" borderId="0" xfId="0" applyFont="1"/>
    <xf numFmtId="164" fontId="0" fillId="0" borderId="0" xfId="0" applyNumberFormat="1"/>
    <xf numFmtId="165" fontId="0" fillId="0" borderId="0" xfId="0" applyNumberFormat="1"/>
    <xf numFmtId="9" fontId="0" fillId="0" borderId="0" xfId="0" applyNumberFormat="1"/>
    <xf numFmtId="9" fontId="15" fillId="0" borderId="0" xfId="0" applyNumberFormat="1" applyFont="1"/>
    <xf numFmtId="49" fontId="15" fillId="0" borderId="0" xfId="0" applyNumberFormat="1" applyFont="1" applyAlignment="1">
      <alignment wrapText="1" indent="1"/>
    </xf>
    <xf numFmtId="49" fontId="0" fillId="0" borderId="0" xfId="0" applyNumberFormat="1" applyFont="1" applyAlignment="1">
      <alignment wrapText="1" indent="1"/>
    </xf>
    <xf numFmtId="166" fontId="0" fillId="0" borderId="0" xfId="3" applyNumberFormat="1" applyFont="1"/>
    <xf numFmtId="49" fontId="15" fillId="0" borderId="0" xfId="0" applyNumberFormat="1" applyFont="1" applyAlignment="1">
      <alignment wrapText="1" indent="5"/>
    </xf>
    <xf numFmtId="0" fontId="2" fillId="0" borderId="0" xfId="4"/>
    <xf numFmtId="165" fontId="0" fillId="0" borderId="0" xfId="5" applyNumberFormat="1" applyFont="1"/>
    <xf numFmtId="10" fontId="2" fillId="0" borderId="0" xfId="4" applyNumberFormat="1"/>
    <xf numFmtId="6" fontId="0" fillId="0" borderId="0" xfId="6" applyNumberFormat="1" applyFont="1"/>
    <xf numFmtId="6" fontId="2" fillId="0" borderId="0" xfId="4" applyNumberFormat="1"/>
    <xf numFmtId="42" fontId="2" fillId="0" borderId="0" xfId="4" applyNumberFormat="1"/>
    <xf numFmtId="0" fontId="10" fillId="0" borderId="0" xfId="4" applyFont="1" applyAlignment="1">
      <alignment horizontal="center"/>
    </xf>
    <xf numFmtId="0" fontId="2" fillId="0" borderId="0" xfId="4" applyAlignment="1">
      <alignment horizontal="center"/>
    </xf>
    <xf numFmtId="42" fontId="10" fillId="0" borderId="0" xfId="4" applyNumberFormat="1" applyFont="1"/>
    <xf numFmtId="0" fontId="0" fillId="0" borderId="0" xfId="0"/>
    <xf numFmtId="0" fontId="9" fillId="0" borderId="0" xfId="0" applyFont="1"/>
    <xf numFmtId="0" fontId="18" fillId="0" borderId="0" xfId="7" applyFont="1" applyAlignment="1">
      <alignment vertical="center"/>
    </xf>
    <xf numFmtId="0" fontId="19" fillId="0" borderId="0" xfId="7" applyFont="1" applyAlignment="1">
      <alignment vertical="center"/>
    </xf>
    <xf numFmtId="167" fontId="19" fillId="0" borderId="0" xfId="7" applyNumberFormat="1" applyFont="1" applyAlignment="1">
      <alignment vertical="center"/>
    </xf>
    <xf numFmtId="0" fontId="18" fillId="0" borderId="0" xfId="7" applyFont="1" applyAlignment="1">
      <alignment horizontal="left" vertical="center" indent="1"/>
    </xf>
    <xf numFmtId="167" fontId="18" fillId="0" borderId="0" xfId="7" applyNumberFormat="1" applyFont="1" applyAlignment="1">
      <alignment vertical="center"/>
    </xf>
    <xf numFmtId="0" fontId="18" fillId="0" borderId="3" xfId="7" applyFont="1" applyBorder="1" applyAlignment="1">
      <alignment horizontal="left" vertical="center" indent="1"/>
    </xf>
    <xf numFmtId="0" fontId="18" fillId="0" borderId="3" xfId="7" applyFont="1" applyBorder="1" applyAlignment="1">
      <alignment vertical="center"/>
    </xf>
    <xf numFmtId="167" fontId="18" fillId="0" borderId="3" xfId="7" applyNumberFormat="1" applyFont="1" applyBorder="1" applyAlignment="1">
      <alignment vertical="center"/>
    </xf>
    <xf numFmtId="0" fontId="21" fillId="0" borderId="0" xfId="8" applyFont="1" applyAlignment="1">
      <alignment horizontal="left" indent="1"/>
    </xf>
    <xf numFmtId="0" fontId="21" fillId="0" borderId="3" xfId="8" applyFont="1" applyBorder="1" applyAlignment="1">
      <alignment horizontal="left" indent="1"/>
    </xf>
    <xf numFmtId="0" fontId="19" fillId="0" borderId="4" xfId="7" applyFont="1" applyBorder="1" applyAlignment="1">
      <alignment vertical="center"/>
    </xf>
    <xf numFmtId="0" fontId="18" fillId="0" borderId="4" xfId="7" applyFont="1" applyBorder="1" applyAlignment="1">
      <alignment vertical="center"/>
    </xf>
    <xf numFmtId="167" fontId="19" fillId="0" borderId="4" xfId="7" applyNumberFormat="1" applyFont="1" applyBorder="1" applyAlignment="1">
      <alignment vertical="center"/>
    </xf>
    <xf numFmtId="49" fontId="8" fillId="0" borderId="0" xfId="0" applyNumberFormat="1" applyFont="1" applyAlignment="1">
      <alignment vertical="center" wrapText="1"/>
    </xf>
    <xf numFmtId="0" fontId="15" fillId="3" borderId="0" xfId="0" applyFont="1" applyFill="1"/>
    <xf numFmtId="4" fontId="0" fillId="3" borderId="0" xfId="0" applyNumberFormat="1" applyFill="1"/>
    <xf numFmtId="0" fontId="0" fillId="0" borderId="0" xfId="0"/>
    <xf numFmtId="0" fontId="12" fillId="0" borderId="0" xfId="0" applyFont="1" applyAlignment="1">
      <alignment wrapText="1"/>
    </xf>
    <xf numFmtId="10" fontId="9" fillId="0" borderId="0" xfId="0" applyNumberFormat="1" applyFont="1"/>
    <xf numFmtId="168" fontId="0" fillId="0" borderId="0" xfId="0" applyNumberFormat="1"/>
    <xf numFmtId="1" fontId="0" fillId="0" borderId="0" xfId="0" applyNumberFormat="1"/>
    <xf numFmtId="0" fontId="0" fillId="0" borderId="0" xfId="3" applyNumberFormat="1" applyFont="1"/>
    <xf numFmtId="0" fontId="15" fillId="0" borderId="5" xfId="0" applyFont="1" applyBorder="1"/>
    <xf numFmtId="0" fontId="0" fillId="0" borderId="5" xfId="0" applyBorder="1"/>
    <xf numFmtId="165" fontId="0" fillId="0" borderId="5" xfId="2" applyNumberFormat="1" applyFont="1" applyBorder="1"/>
    <xf numFmtId="0" fontId="9" fillId="0" borderId="5" xfId="0" applyFont="1" applyBorder="1"/>
    <xf numFmtId="9" fontId="0" fillId="0" borderId="5" xfId="3" applyFont="1" applyBorder="1"/>
    <xf numFmtId="9" fontId="0" fillId="0" borderId="5" xfId="0" applyNumberFormat="1" applyBorder="1"/>
    <xf numFmtId="0" fontId="8" fillId="0" borderId="5" xfId="0" applyFont="1" applyBorder="1" applyAlignment="1">
      <alignment horizontal="center"/>
    </xf>
    <xf numFmtId="165" fontId="0" fillId="0" borderId="5" xfId="0" applyNumberFormat="1" applyBorder="1"/>
    <xf numFmtId="165" fontId="15" fillId="0" borderId="5" xfId="0" applyNumberFormat="1" applyFont="1" applyBorder="1"/>
    <xf numFmtId="10" fontId="0" fillId="0" borderId="5" xfId="0" applyNumberFormat="1" applyBorder="1"/>
    <xf numFmtId="0" fontId="8" fillId="0" borderId="5" xfId="0" applyFont="1" applyBorder="1"/>
    <xf numFmtId="0" fontId="8" fillId="0" borderId="0" xfId="0" applyFont="1"/>
    <xf numFmtId="0" fontId="0" fillId="0" borderId="11" xfId="0" applyBorder="1"/>
    <xf numFmtId="0" fontId="25" fillId="0" borderId="0" xfId="0" applyFont="1" applyAlignment="1">
      <alignment horizontal="center"/>
    </xf>
    <xf numFmtId="10" fontId="0" fillId="0" borderId="11" xfId="3" applyNumberFormat="1" applyFont="1" applyBorder="1"/>
    <xf numFmtId="0" fontId="0" fillId="0" borderId="12" xfId="0" applyBorder="1"/>
    <xf numFmtId="2" fontId="0" fillId="0" borderId="12" xfId="0" applyNumberFormat="1" applyBorder="1"/>
    <xf numFmtId="10" fontId="0" fillId="0" borderId="12" xfId="0" applyNumberFormat="1" applyBorder="1"/>
    <xf numFmtId="10" fontId="0" fillId="0" borderId="12" xfId="3" applyNumberFormat="1" applyFont="1" applyBorder="1"/>
    <xf numFmtId="164" fontId="0" fillId="0" borderId="12" xfId="0" applyNumberFormat="1" applyBorder="1"/>
    <xf numFmtId="0" fontId="10" fillId="0" borderId="12" xfId="0" applyFont="1" applyBorder="1"/>
    <xf numFmtId="9" fontId="0" fillId="0" borderId="12" xfId="0" applyNumberFormat="1" applyBorder="1"/>
    <xf numFmtId="0" fontId="22" fillId="5" borderId="13" xfId="0" applyFont="1" applyFill="1" applyBorder="1"/>
    <xf numFmtId="0" fontId="26" fillId="5" borderId="3" xfId="0" applyFont="1" applyFill="1" applyBorder="1" applyAlignment="1">
      <alignment horizontal="center"/>
    </xf>
    <xf numFmtId="10" fontId="22" fillId="5" borderId="13" xfId="0" applyNumberFormat="1" applyFont="1" applyFill="1" applyBorder="1"/>
    <xf numFmtId="0" fontId="10" fillId="0" borderId="0" xfId="0" applyFont="1"/>
    <xf numFmtId="6" fontId="0" fillId="0" borderId="0" xfId="0" applyNumberFormat="1"/>
    <xf numFmtId="42" fontId="0" fillId="0" borderId="0" xfId="0" applyNumberFormat="1"/>
    <xf numFmtId="10" fontId="10" fillId="3" borderId="0" xfId="0" applyNumberFormat="1" applyFont="1" applyFill="1"/>
    <xf numFmtId="0" fontId="27" fillId="0" borderId="0" xfId="9" applyFont="1"/>
    <xf numFmtId="0" fontId="0" fillId="7" borderId="8" xfId="0" applyFill="1" applyBorder="1"/>
    <xf numFmtId="0" fontId="0" fillId="7" borderId="9" xfId="0" applyFill="1" applyBorder="1"/>
    <xf numFmtId="0" fontId="0" fillId="7" borderId="10" xfId="0" applyFill="1" applyBorder="1"/>
    <xf numFmtId="0" fontId="0" fillId="7" borderId="14" xfId="0" applyFill="1" applyBorder="1"/>
    <xf numFmtId="0" fontId="0" fillId="7" borderId="0" xfId="0" applyFill="1"/>
    <xf numFmtId="0" fontId="0" fillId="7" borderId="15" xfId="0" applyFill="1" applyBorder="1"/>
    <xf numFmtId="0" fontId="0" fillId="7" borderId="16" xfId="0" applyFill="1" applyBorder="1"/>
    <xf numFmtId="0" fontId="0" fillId="7" borderId="3" xfId="0" applyFill="1" applyBorder="1"/>
    <xf numFmtId="0" fontId="0" fillId="7" borderId="17" xfId="0" applyFill="1" applyBorder="1"/>
    <xf numFmtId="0" fontId="25" fillId="0" borderId="0" xfId="0" applyFont="1"/>
    <xf numFmtId="0" fontId="28" fillId="0" borderId="0" xfId="0" applyFont="1"/>
    <xf numFmtId="0" fontId="10" fillId="6" borderId="5" xfId="0" applyFont="1" applyFill="1" applyBorder="1"/>
    <xf numFmtId="164" fontId="0" fillId="8" borderId="5" xfId="3" applyNumberFormat="1" applyFont="1" applyFill="1" applyBorder="1"/>
    <xf numFmtId="14" fontId="0" fillId="0" borderId="0" xfId="0" applyNumberFormat="1"/>
    <xf numFmtId="0" fontId="0" fillId="6" borderId="5" xfId="0" applyFill="1" applyBorder="1"/>
    <xf numFmtId="0" fontId="0" fillId="9" borderId="6" xfId="0" applyFill="1" applyBorder="1"/>
    <xf numFmtId="9" fontId="0" fillId="9" borderId="7" xfId="3" applyFont="1" applyFill="1" applyBorder="1"/>
    <xf numFmtId="0" fontId="29" fillId="0" borderId="0" xfId="0" applyFont="1"/>
    <xf numFmtId="14" fontId="29" fillId="0" borderId="0" xfId="0" applyNumberFormat="1" applyFont="1"/>
    <xf numFmtId="10" fontId="29" fillId="0" borderId="0" xfId="0" applyNumberFormat="1" applyFont="1"/>
    <xf numFmtId="0" fontId="29" fillId="9" borderId="6" xfId="0" applyFont="1" applyFill="1" applyBorder="1"/>
    <xf numFmtId="10" fontId="29" fillId="9" borderId="7" xfId="0" applyNumberFormat="1" applyFont="1" applyFill="1" applyBorder="1"/>
    <xf numFmtId="0" fontId="10" fillId="10" borderId="5" xfId="0" applyFont="1" applyFill="1" applyBorder="1"/>
    <xf numFmtId="164" fontId="0" fillId="0" borderId="7" xfId="3" applyNumberFormat="1" applyFont="1" applyFill="1" applyBorder="1"/>
    <xf numFmtId="0" fontId="23" fillId="0" borderId="0" xfId="0" applyFont="1"/>
    <xf numFmtId="10" fontId="0" fillId="11" borderId="5" xfId="3" applyNumberFormat="1" applyFont="1" applyFill="1" applyBorder="1"/>
    <xf numFmtId="169" fontId="0" fillId="0" borderId="0" xfId="0" applyNumberFormat="1"/>
    <xf numFmtId="0" fontId="12" fillId="0" borderId="0" xfId="0" applyFont="1"/>
    <xf numFmtId="0" fontId="2" fillId="0" borderId="5" xfId="4" applyBorder="1"/>
    <xf numFmtId="165" fontId="0" fillId="0" borderId="5" xfId="5" applyNumberFormat="1" applyFont="1" applyBorder="1"/>
    <xf numFmtId="164" fontId="2" fillId="0" borderId="5" xfId="4" applyNumberFormat="1" applyBorder="1"/>
    <xf numFmtId="6" fontId="0" fillId="0" borderId="5" xfId="6" applyNumberFormat="1" applyFont="1" applyBorder="1"/>
    <xf numFmtId="0" fontId="0" fillId="0" borderId="0" xfId="0"/>
    <xf numFmtId="0" fontId="5" fillId="2" borderId="0" xfId="0" applyFont="1" applyFill="1" applyAlignment="1">
      <alignment horizontal="center" vertical="center"/>
    </xf>
    <xf numFmtId="0" fontId="0" fillId="0" borderId="0" xfId="0"/>
    <xf numFmtId="0" fontId="3" fillId="2" borderId="0" xfId="0" applyFont="1" applyFill="1" applyAlignment="1">
      <alignment horizontal="center" vertical="center"/>
    </xf>
    <xf numFmtId="0" fontId="1" fillId="3" borderId="0" xfId="4" applyFont="1" applyFill="1" applyAlignment="1">
      <alignment horizontal="center"/>
    </xf>
    <xf numFmtId="0" fontId="2" fillId="3" borderId="0" xfId="4" applyFill="1" applyAlignment="1">
      <alignment horizontal="center"/>
    </xf>
    <xf numFmtId="0" fontId="12" fillId="4" borderId="0" xfId="0" applyFont="1" applyFill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22" fillId="5" borderId="8" xfId="0" applyFont="1" applyFill="1" applyBorder="1" applyAlignment="1">
      <alignment horizontal="center"/>
    </xf>
    <xf numFmtId="0" fontId="22" fillId="5" borderId="9" xfId="0" applyFont="1" applyFill="1" applyBorder="1" applyAlignment="1">
      <alignment horizontal="center"/>
    </xf>
    <xf numFmtId="0" fontId="22" fillId="5" borderId="10" xfId="0" applyFont="1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10" fillId="6" borderId="4" xfId="0" applyFont="1" applyFill="1" applyBorder="1" applyAlignment="1">
      <alignment horizontal="center"/>
    </xf>
    <xf numFmtId="0" fontId="10" fillId="6" borderId="7" xfId="0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30" fillId="0" borderId="0" xfId="0" applyFont="1" applyAlignment="1">
      <alignment horizontal="center"/>
    </xf>
    <xf numFmtId="0" fontId="0" fillId="6" borderId="0" xfId="0" applyFill="1"/>
    <xf numFmtId="0" fontId="31" fillId="6" borderId="0" xfId="0" applyFont="1" applyFill="1" applyAlignment="1">
      <alignment horizontal="center"/>
    </xf>
    <xf numFmtId="0" fontId="30" fillId="0" borderId="0" xfId="0" applyFont="1" applyAlignment="1">
      <alignment horizontal="right"/>
    </xf>
  </cellXfs>
  <cellStyles count="10">
    <cellStyle name="Hipervínculo" xfId="9" builtinId="8"/>
    <cellStyle name="Millares" xfId="1" builtinId="3"/>
    <cellStyle name="Moneda" xfId="2" builtinId="4"/>
    <cellStyle name="Moneda [0] 2" xfId="6" xr:uid="{859E4B5B-B0ED-4DFC-9EEE-85F9A6431661}"/>
    <cellStyle name="Moneda 2" xfId="5" xr:uid="{BD76DCFF-144D-4364-9617-8C11A503A001}"/>
    <cellStyle name="Normal" xfId="0" builtinId="0"/>
    <cellStyle name="Normal 2" xfId="4" xr:uid="{88ADE776-C2C3-4336-917A-480367D1C62D}"/>
    <cellStyle name="Normal_Ceres exhibits v2" xfId="7" xr:uid="{90C10578-3F49-466D-949F-158A7F3191A1}"/>
    <cellStyle name="Normal_Ceres exhibits v3" xfId="8" xr:uid="{F7B1C62B-B59E-4B48-AF1A-FDF30F731F86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'Indicadores Proyectados'!$A$23</c:f>
              <c:strCache>
                <c:ptCount val="1"/>
                <c:pt idx="0">
                  <c:v>EVA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'Indicadores Proyectados'!$B$1:$H$1</c:f>
              <c:strCache>
                <c:ptCount val="7"/>
                <c:pt idx="0">
                  <c:v>2023</c:v>
                </c:pt>
                <c:pt idx="1">
                  <c:v>2024-1S</c:v>
                </c:pt>
                <c:pt idx="2">
                  <c:v>2024-2S</c:v>
                </c:pt>
                <c:pt idx="3">
                  <c:v>2025-1S</c:v>
                </c:pt>
                <c:pt idx="4">
                  <c:v>2025-2S</c:v>
                </c:pt>
                <c:pt idx="5">
                  <c:v>2026-1S</c:v>
                </c:pt>
                <c:pt idx="6">
                  <c:v>2026-2S</c:v>
                </c:pt>
              </c:strCache>
            </c:strRef>
          </c:cat>
          <c:val>
            <c:numRef>
              <c:f>'Indicadores Proyectados'!$B$23:$H$23</c:f>
              <c:numCache>
                <c:formatCode>#,##0.00</c:formatCode>
                <c:ptCount val="7"/>
                <c:pt idx="0">
                  <c:v>-124628842.32351612</c:v>
                </c:pt>
                <c:pt idx="1">
                  <c:v>-122335740.06777699</c:v>
                </c:pt>
                <c:pt idx="2">
                  <c:v>154586283.35606608</c:v>
                </c:pt>
                <c:pt idx="3">
                  <c:v>247984667.34593207</c:v>
                </c:pt>
                <c:pt idx="4">
                  <c:v>269312694.18933713</c:v>
                </c:pt>
                <c:pt idx="5">
                  <c:v>364676529.25749928</c:v>
                </c:pt>
                <c:pt idx="6">
                  <c:v>227232473.60915619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3D-437A-A408-5D5421CEB1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696431"/>
        <c:axId val="74690671"/>
      </c:barChart>
      <c:catAx>
        <c:axId val="746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690671"/>
        <c:crosses val="autoZero"/>
        <c:auto val="1"/>
        <c:lblAlgn val="ctr"/>
        <c:lblOffset val="100"/>
        <c:noMultiLvlLbl val="0"/>
      </c:catAx>
      <c:valAx>
        <c:axId val="746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6964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'Indicadores Proyectados'!$A$4</c:f>
              <c:strCache>
                <c:ptCount val="1"/>
                <c:pt idx="0">
                  <c:v>EBITDA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'Indicadores Proyectados'!$B$1:$H$1</c:f>
              <c:strCache>
                <c:ptCount val="7"/>
                <c:pt idx="0">
                  <c:v>2023</c:v>
                </c:pt>
                <c:pt idx="1">
                  <c:v>2024-1S</c:v>
                </c:pt>
                <c:pt idx="2">
                  <c:v>2024-2S</c:v>
                </c:pt>
                <c:pt idx="3">
                  <c:v>2025-1S</c:v>
                </c:pt>
                <c:pt idx="4">
                  <c:v>2025-2S</c:v>
                </c:pt>
                <c:pt idx="5">
                  <c:v>2026-1S</c:v>
                </c:pt>
                <c:pt idx="6">
                  <c:v>2026-2S</c:v>
                </c:pt>
              </c:strCache>
            </c:strRef>
          </c:cat>
          <c:val>
            <c:numRef>
              <c:f>'Indicadores Proyectados'!$B$4:$H$4</c:f>
              <c:numCache>
                <c:formatCode>#,##0.00</c:formatCode>
                <c:ptCount val="7"/>
                <c:pt idx="0">
                  <c:v>15102243.879999995</c:v>
                </c:pt>
                <c:pt idx="1">
                  <c:v>48246446.82</c:v>
                </c:pt>
                <c:pt idx="2">
                  <c:v>415328518.45556754</c:v>
                </c:pt>
                <c:pt idx="3">
                  <c:v>557641400.55698061</c:v>
                </c:pt>
                <c:pt idx="4">
                  <c:v>741763110.91063833</c:v>
                </c:pt>
                <c:pt idx="5">
                  <c:v>894714432.71930981</c:v>
                </c:pt>
                <c:pt idx="6">
                  <c:v>922319742.33115196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6F-4E19-9594-6833C1C07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709871"/>
        <c:axId val="74710351"/>
      </c:lineChart>
      <c:catAx>
        <c:axId val="74709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710351"/>
        <c:crosses val="autoZero"/>
        <c:auto val="1"/>
        <c:lblAlgn val="ctr"/>
        <c:lblOffset val="100"/>
        <c:noMultiLvlLbl val="0"/>
      </c:catAx>
      <c:valAx>
        <c:axId val="74710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709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MÁRGENES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'Indicadores Proyectados'!$A$3</c:f>
              <c:strCache>
                <c:ptCount val="1"/>
                <c:pt idx="0">
                  <c:v>Margen Operacional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'Indicadores Proyectados'!$B$1:$H$1</c:f>
              <c:strCache>
                <c:ptCount val="7"/>
                <c:pt idx="0">
                  <c:v>2023</c:v>
                </c:pt>
                <c:pt idx="1">
                  <c:v>2024-1S</c:v>
                </c:pt>
                <c:pt idx="2">
                  <c:v>2024-2S</c:v>
                </c:pt>
                <c:pt idx="3">
                  <c:v>2025-1S</c:v>
                </c:pt>
                <c:pt idx="4">
                  <c:v>2025-2S</c:v>
                </c:pt>
                <c:pt idx="5">
                  <c:v>2026-1S</c:v>
                </c:pt>
                <c:pt idx="6">
                  <c:v>2026-2S</c:v>
                </c:pt>
              </c:strCache>
            </c:strRef>
          </c:cat>
          <c:val>
            <c:numRef>
              <c:f>'Indicadores Proyectados'!$B$3:$H$3</c:f>
              <c:numCache>
                <c:formatCode>0.00%</c:formatCode>
                <c:ptCount val="7"/>
                <c:pt idx="0">
                  <c:v>6.2727533844184891E-2</c:v>
                </c:pt>
                <c:pt idx="1">
                  <c:v>3.3036524969754302E-2</c:v>
                </c:pt>
                <c:pt idx="2">
                  <c:v>0.39373630717585834</c:v>
                </c:pt>
                <c:pt idx="3">
                  <c:v>0.448219537772723</c:v>
                </c:pt>
                <c:pt idx="4">
                  <c:v>0.43399148491865597</c:v>
                </c:pt>
                <c:pt idx="5">
                  <c:v>0.40974641924822969</c:v>
                </c:pt>
                <c:pt idx="6">
                  <c:v>0.31197391400779995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12-4C46-894C-263D90DD3C5E}"/>
            </c:ext>
          </c:extLst>
        </c:ser>
        <c:ser>
          <c:idx val="1"/>
          <c:order val="1"/>
          <c:tx>
            <c:strRef>
              <c:f>'Indicadores Proyectados'!$A$5</c:f>
              <c:strCache>
                <c:ptCount val="1"/>
                <c:pt idx="0">
                  <c:v>Margen EBITDA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'Indicadores Proyectados'!$B$1:$H$1</c:f>
              <c:strCache>
                <c:ptCount val="7"/>
                <c:pt idx="0">
                  <c:v>2023</c:v>
                </c:pt>
                <c:pt idx="1">
                  <c:v>2024-1S</c:v>
                </c:pt>
                <c:pt idx="2">
                  <c:v>2024-2S</c:v>
                </c:pt>
                <c:pt idx="3">
                  <c:v>2025-1S</c:v>
                </c:pt>
                <c:pt idx="4">
                  <c:v>2025-2S</c:v>
                </c:pt>
                <c:pt idx="5">
                  <c:v>2026-1S</c:v>
                </c:pt>
                <c:pt idx="6">
                  <c:v>2026-2S</c:v>
                </c:pt>
              </c:strCache>
            </c:strRef>
          </c:cat>
          <c:val>
            <c:numRef>
              <c:f>'Indicadores Proyectados'!$B$5:$H$5</c:f>
              <c:numCache>
                <c:formatCode>0.00%</c:formatCode>
                <c:ptCount val="7"/>
                <c:pt idx="0">
                  <c:v>6.4945822310471746E-2</c:v>
                </c:pt>
                <c:pt idx="1">
                  <c:v>9.8409235374261342E-2</c:v>
                </c:pt>
                <c:pt idx="2">
                  <c:v>0.42666062464616983</c:v>
                </c:pt>
                <c:pt idx="3">
                  <c:v>0.47555134665612331</c:v>
                </c:pt>
                <c:pt idx="4">
                  <c:v>0.47442645839386333</c:v>
                </c:pt>
                <c:pt idx="5">
                  <c:v>0.44090009087298881</c:v>
                </c:pt>
                <c:pt idx="6">
                  <c:v>0.35451274485203071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12-4C46-894C-263D90DD3C5E}"/>
            </c:ext>
          </c:extLst>
        </c:ser>
        <c:ser>
          <c:idx val="2"/>
          <c:order val="2"/>
          <c:tx>
            <c:strRef>
              <c:f>'Indicadores Proyectados'!$A$6</c:f>
              <c:strCache>
                <c:ptCount val="1"/>
                <c:pt idx="0">
                  <c:v>Margen Neto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'Indicadores Proyectados'!$B$1:$H$1</c:f>
              <c:strCache>
                <c:ptCount val="7"/>
                <c:pt idx="0">
                  <c:v>2023</c:v>
                </c:pt>
                <c:pt idx="1">
                  <c:v>2024-1S</c:v>
                </c:pt>
                <c:pt idx="2">
                  <c:v>2024-2S</c:v>
                </c:pt>
                <c:pt idx="3">
                  <c:v>2025-1S</c:v>
                </c:pt>
                <c:pt idx="4">
                  <c:v>2025-2S</c:v>
                </c:pt>
                <c:pt idx="5">
                  <c:v>2026-1S</c:v>
                </c:pt>
                <c:pt idx="6">
                  <c:v>2026-2S</c:v>
                </c:pt>
              </c:strCache>
            </c:strRef>
          </c:cat>
          <c:val>
            <c:numRef>
              <c:f>'Indicadores Proyectados'!$B$6:$H$6</c:f>
              <c:numCache>
                <c:formatCode>0.00%</c:formatCode>
                <c:ptCount val="7"/>
                <c:pt idx="0">
                  <c:v>4.0774072072520463E-2</c:v>
                </c:pt>
                <c:pt idx="1">
                  <c:v>2.148128180641052E-2</c:v>
                </c:pt>
                <c:pt idx="2">
                  <c:v>0.25592859966430792</c:v>
                </c:pt>
                <c:pt idx="3">
                  <c:v>0.29134269955226993</c:v>
                </c:pt>
                <c:pt idx="4">
                  <c:v>0.28209446519712639</c:v>
                </c:pt>
                <c:pt idx="5">
                  <c:v>0.24960501338211205</c:v>
                </c:pt>
                <c:pt idx="6">
                  <c:v>0.19050982328689631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12-4C46-894C-263D90DD3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688751"/>
        <c:axId val="74690191"/>
      </c:lineChart>
      <c:catAx>
        <c:axId val="74688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690191"/>
        <c:crosses val="autoZero"/>
        <c:auto val="1"/>
        <c:lblAlgn val="ctr"/>
        <c:lblOffset val="100"/>
        <c:noMultiLvlLbl val="0"/>
      </c:catAx>
      <c:valAx>
        <c:axId val="7469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688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'Indicadores Proyectados'!$A$7</c:f>
              <c:strCache>
                <c:ptCount val="1"/>
                <c:pt idx="0">
                  <c:v>ROIC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'Indicadores Proyectados'!$B$1:$H$1</c:f>
              <c:strCache>
                <c:ptCount val="7"/>
                <c:pt idx="0">
                  <c:v>2023</c:v>
                </c:pt>
                <c:pt idx="1">
                  <c:v>2024-1S</c:v>
                </c:pt>
                <c:pt idx="2">
                  <c:v>2024-2S</c:v>
                </c:pt>
                <c:pt idx="3">
                  <c:v>2025-1S</c:v>
                </c:pt>
                <c:pt idx="4">
                  <c:v>2025-2S</c:v>
                </c:pt>
                <c:pt idx="5">
                  <c:v>2026-1S</c:v>
                </c:pt>
                <c:pt idx="6">
                  <c:v>2026-2S</c:v>
                </c:pt>
              </c:strCache>
            </c:strRef>
          </c:cat>
          <c:val>
            <c:numRef>
              <c:f>'Indicadores Proyectados'!$B$7:$H$7</c:f>
              <c:numCache>
                <c:formatCode>0.00%</c:formatCode>
                <c:ptCount val="7"/>
                <c:pt idx="0">
                  <c:v>1.2601580248497921E-2</c:v>
                </c:pt>
                <c:pt idx="1">
                  <c:v>1.4123937341975642E-2</c:v>
                </c:pt>
                <c:pt idx="2">
                  <c:v>0.46969343934083024</c:v>
                </c:pt>
                <c:pt idx="3">
                  <c:v>0.65024805118147999</c:v>
                </c:pt>
                <c:pt idx="4">
                  <c:v>0.45776516813927642</c:v>
                </c:pt>
                <c:pt idx="5">
                  <c:v>0.54801288138127757</c:v>
                </c:pt>
                <c:pt idx="6">
                  <c:v>0.31310785311491685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22-4C3A-91BA-234AB3220F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696431"/>
        <c:axId val="74690671"/>
      </c:barChart>
      <c:catAx>
        <c:axId val="746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690671"/>
        <c:crosses val="autoZero"/>
        <c:auto val="1"/>
        <c:lblAlgn val="ctr"/>
        <c:lblOffset val="100"/>
        <c:noMultiLvlLbl val="0"/>
      </c:catAx>
      <c:valAx>
        <c:axId val="746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6964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'Indicadores Proyectados'!$A$91</c:f>
              <c:strCache>
                <c:ptCount val="1"/>
                <c:pt idx="0">
                  <c:v>Z=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'Indicadores Proyectados'!$B$85:$H$85</c:f>
              <c:strCache>
                <c:ptCount val="7"/>
                <c:pt idx="0">
                  <c:v>2023</c:v>
                </c:pt>
                <c:pt idx="1">
                  <c:v>2024-1S</c:v>
                </c:pt>
                <c:pt idx="2">
                  <c:v>2024-2S</c:v>
                </c:pt>
                <c:pt idx="3">
                  <c:v>2025-1S</c:v>
                </c:pt>
                <c:pt idx="4">
                  <c:v>2025-2S</c:v>
                </c:pt>
                <c:pt idx="5">
                  <c:v>2026-1S</c:v>
                </c:pt>
                <c:pt idx="6">
                  <c:v>2026-2S</c:v>
                </c:pt>
              </c:strCache>
            </c:strRef>
          </c:cat>
          <c:val>
            <c:numRef>
              <c:f>'Indicadores Proyectados'!$B$91:$H$91</c:f>
              <c:numCache>
                <c:formatCode>General</c:formatCode>
                <c:ptCount val="7"/>
                <c:pt idx="0">
                  <c:v>3.4871143403868059</c:v>
                </c:pt>
                <c:pt idx="1">
                  <c:v>3.7392697630254048</c:v>
                </c:pt>
                <c:pt idx="2">
                  <c:v>10.128553008404278</c:v>
                </c:pt>
                <c:pt idx="3">
                  <c:v>15.325463486428658</c:v>
                </c:pt>
                <c:pt idx="4">
                  <c:v>11.3810582176779</c:v>
                </c:pt>
                <c:pt idx="5">
                  <c:v>14.949627212280598</c:v>
                </c:pt>
                <c:pt idx="6">
                  <c:v>10.387406617745777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EF-4E82-A5F4-D661FCB5D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709871"/>
        <c:axId val="74710351"/>
      </c:barChart>
      <c:scatterChart>
        <c:scatterStyle val="lineMarker"/>
        <c:varyColors val="0"/>
        <c:ser>
          <c:idx val="1"/>
          <c:order val="1"/>
          <c:tx>
            <c:v>Zmin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x"/>
            <c:errBarType val="plus"/>
            <c:errValType val="fixedVal"/>
            <c:noEndCap val="1"/>
            <c:val val="6"/>
            <c:spPr>
              <a:noFill/>
              <a:ln w="22225" cap="flat" cmpd="sng" algn="ctr">
                <a:solidFill>
                  <a:srgbClr val="FF0000"/>
                </a:solidFill>
                <a:prstDash val="sysDash"/>
                <a:round/>
              </a:ln>
              <a:effectLst/>
            </c:spPr>
          </c:errBars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yVal>
            <c:numRef>
              <c:f>'Indicadores Proyectados'!$D$83</c:f>
              <c:numCache>
                <c:formatCode>General</c:formatCode>
                <c:ptCount val="1"/>
                <c:pt idx="0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6EF-4E82-A5F4-D661FCB5D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709871"/>
        <c:axId val="74710351"/>
      </c:scatterChart>
      <c:catAx>
        <c:axId val="74709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710351"/>
        <c:crosses val="autoZero"/>
        <c:auto val="1"/>
        <c:lblAlgn val="ctr"/>
        <c:lblOffset val="100"/>
        <c:noMultiLvlLbl val="0"/>
      </c:catAx>
      <c:valAx>
        <c:axId val="74710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709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381000</xdr:colOff>
      <xdr:row>2</xdr:row>
      <xdr:rowOff>28575</xdr:rowOff>
    </xdr:from>
    <xdr:to>
      <xdr:col>19</xdr:col>
      <xdr:colOff>544118</xdr:colOff>
      <xdr:row>21</xdr:row>
      <xdr:rowOff>95694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57F99D-99C2-12F7-54EE-2D9CEEA2F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15525" y="352425"/>
          <a:ext cx="8545118" cy="31817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390524</xdr:colOff>
      <xdr:row>28</xdr:row>
      <xdr:rowOff>9525</xdr:rowOff>
    </xdr:from>
    <xdr:to>
      <xdr:col>4</xdr:col>
      <xdr:colOff>400049</xdr:colOff>
      <xdr:row>46</xdr:row>
      <xdr:rowOff>24534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47A0005-AD7D-45E9-B772-DAA6971198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27</xdr:row>
      <xdr:rowOff>142875</xdr:rowOff>
    </xdr:from>
    <xdr:to>
      <xdr:col>11</xdr:col>
      <xdr:colOff>600075</xdr:colOff>
      <xdr:row>45</xdr:row>
      <xdr:rowOff>148070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1854667-C5AA-4BBF-8F24-4B6E75CE4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390525</xdr:colOff>
      <xdr:row>49</xdr:row>
      <xdr:rowOff>66675</xdr:rowOff>
    </xdr:from>
    <xdr:to>
      <xdr:col>5</xdr:col>
      <xdr:colOff>466725</xdr:colOff>
      <xdr:row>68</xdr:row>
      <xdr:rowOff>57150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45FE81C-7368-4FDD-9F1A-B3DF1887E0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209550</xdr:colOff>
      <xdr:row>49</xdr:row>
      <xdr:rowOff>152400</xdr:rowOff>
    </xdr:from>
    <xdr:to>
      <xdr:col>12</xdr:col>
      <xdr:colOff>161925</xdr:colOff>
      <xdr:row>68</xdr:row>
      <xdr:rowOff>5484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F9518053-043F-4BAC-BA20-31AE360628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2543175</xdr:colOff>
      <xdr:row>93</xdr:row>
      <xdr:rowOff>38100</xdr:rowOff>
    </xdr:from>
    <xdr:to>
      <xdr:col>5</xdr:col>
      <xdr:colOff>485775</xdr:colOff>
      <xdr:row>111</xdr:row>
      <xdr:rowOff>43295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8592AFE9-0204-4C9D-96A5-061F8C855B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345891</xdr:colOff>
      <xdr:row>27</xdr:row>
      <xdr:rowOff>79278</xdr:rowOff>
    </xdr:from>
    <xdr:to>
      <xdr:col>3</xdr:col>
      <xdr:colOff>744475</xdr:colOff>
      <xdr:row>29</xdr:row>
      <xdr:rowOff>159943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BD09CFC-01D8-4E1C-BB6F-4E43CB868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5891" y="5032278"/>
          <a:ext cx="4570534" cy="4045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es.investing.com/rates-bonds/u.s.-10-year-bond-yield" TargetMode="External"/><Relationship Id="rId2" Type="http://schemas.openxmlformats.org/officeDocument/2006/relationships/hyperlink" Target="https://pages.stern.nyu.edu/~adamodar/New_Home_Page/datafile/Betas.html" TargetMode="External"/><Relationship Id="rId1" Type="http://schemas.openxmlformats.org/officeDocument/2006/relationships/hyperlink" Target="https://www.stern.nyu.edu/~adamodar/pc/datasets/histretSP.xls" TargetMode="External"/><Relationship Id="rId4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G91"/>
  <sheetViews>
    <sheetView topLeftCell="A4" workbookViewId="0">
      <selection activeCell="A93" sqref="A93"/>
    </sheetView>
  </sheetViews>
  <sheetFormatPr baseColWidth="10" defaultRowHeight="12.75" outlineLevelRow="1" x14ac:dyDescent="0.2"/>
  <cols>
    <col min="1" max="1" width="60" customWidth="1"/>
    <col min="2" max="5" width="25" customWidth="1"/>
    <col min="7" max="7" width="13.85546875" bestFit="1" customWidth="1"/>
  </cols>
  <sheetData>
    <row r="1" spans="1:5" ht="39" x14ac:dyDescent="0.2">
      <c r="A1" s="138" t="s">
        <v>0</v>
      </c>
      <c r="B1" s="139"/>
      <c r="C1" s="139"/>
      <c r="D1" s="139"/>
      <c r="E1" s="139"/>
    </row>
    <row r="2" spans="1:5" ht="18.75" x14ac:dyDescent="0.2">
      <c r="A2" s="140" t="s">
        <v>1</v>
      </c>
      <c r="B2" s="139"/>
      <c r="C2" s="139"/>
      <c r="D2" s="139"/>
      <c r="E2" s="139"/>
    </row>
    <row r="3" spans="1:5" ht="18.75" x14ac:dyDescent="0.2">
      <c r="A3" s="140" t="s">
        <v>2</v>
      </c>
      <c r="B3" s="139"/>
      <c r="C3" s="139"/>
      <c r="D3" s="139"/>
      <c r="E3" s="139"/>
    </row>
    <row r="4" spans="1:5" ht="18.75" x14ac:dyDescent="0.2">
      <c r="A4" s="140" t="s">
        <v>3</v>
      </c>
      <c r="B4" s="139"/>
      <c r="C4" s="139"/>
      <c r="D4" s="139"/>
      <c r="E4" s="139"/>
    </row>
    <row r="5" spans="1:5" ht="18.75" x14ac:dyDescent="0.2">
      <c r="A5" s="140" t="s">
        <v>4</v>
      </c>
      <c r="B5" s="139"/>
      <c r="C5" s="139"/>
      <c r="D5" s="139"/>
      <c r="E5" s="139"/>
    </row>
    <row r="6" spans="1:5" ht="15.75" x14ac:dyDescent="0.2">
      <c r="A6" s="1" t="s">
        <v>5</v>
      </c>
      <c r="B6" s="1" t="s">
        <v>6</v>
      </c>
      <c r="C6" s="1" t="s">
        <v>7</v>
      </c>
      <c r="D6" s="1" t="s">
        <v>8</v>
      </c>
      <c r="E6" s="1" t="s">
        <v>7</v>
      </c>
    </row>
    <row r="7" spans="1:5" x14ac:dyDescent="0.2">
      <c r="A7" s="6" t="s">
        <v>9</v>
      </c>
      <c r="B7" t="s">
        <v>10</v>
      </c>
      <c r="C7" t="s">
        <v>10</v>
      </c>
      <c r="D7" t="s">
        <v>10</v>
      </c>
      <c r="E7" t="s">
        <v>10</v>
      </c>
    </row>
    <row r="8" spans="1:5" x14ac:dyDescent="0.2">
      <c r="A8" s="8" t="s">
        <v>11</v>
      </c>
      <c r="B8" t="s">
        <v>10</v>
      </c>
      <c r="C8" t="s">
        <v>10</v>
      </c>
      <c r="D8" t="s">
        <v>10</v>
      </c>
      <c r="E8" t="s">
        <v>10</v>
      </c>
    </row>
    <row r="9" spans="1:5" collapsed="1" x14ac:dyDescent="0.2">
      <c r="A9" s="9" t="s">
        <v>12</v>
      </c>
      <c r="B9" s="2">
        <v>64611513.93</v>
      </c>
      <c r="C9" s="11">
        <v>0.1101</v>
      </c>
      <c r="D9" s="2">
        <v>30500980.41</v>
      </c>
      <c r="E9" s="11">
        <v>6.0400000000000002E-2</v>
      </c>
    </row>
    <row r="10" spans="1:5" hidden="1" outlineLevel="1" collapsed="1" x14ac:dyDescent="0.2">
      <c r="A10" s="10" t="s">
        <v>13</v>
      </c>
      <c r="B10" s="2">
        <v>69156810.049999997</v>
      </c>
      <c r="C10" s="11">
        <v>0.1179</v>
      </c>
      <c r="D10" s="2">
        <v>300000</v>
      </c>
      <c r="E10" s="11">
        <v>5.9999999999999995E-4</v>
      </c>
    </row>
    <row r="11" spans="1:5" hidden="1" outlineLevel="1" collapsed="1" x14ac:dyDescent="0.2">
      <c r="A11" s="10" t="s">
        <v>14</v>
      </c>
      <c r="B11" s="2">
        <v>-8208790.9699999997</v>
      </c>
      <c r="C11" s="11">
        <v>-1.4E-2</v>
      </c>
      <c r="D11" s="2">
        <v>0</v>
      </c>
      <c r="E11" s="11">
        <v>0</v>
      </c>
    </row>
    <row r="12" spans="1:5" hidden="1" outlineLevel="1" collapsed="1" x14ac:dyDescent="0.2">
      <c r="A12" s="10" t="s">
        <v>15</v>
      </c>
      <c r="B12" s="2">
        <v>3663494.85</v>
      </c>
      <c r="C12" s="11">
        <v>6.1999999999999998E-3</v>
      </c>
      <c r="D12" s="2">
        <v>30200980.41</v>
      </c>
      <c r="E12" s="11">
        <v>5.9900000000000002E-2</v>
      </c>
    </row>
    <row r="13" spans="1:5" ht="25.5" collapsed="1" x14ac:dyDescent="0.2">
      <c r="A13" s="9" t="s">
        <v>16</v>
      </c>
      <c r="B13" s="2">
        <v>49681717.82</v>
      </c>
      <c r="C13" s="11">
        <v>8.4699999999999998E-2</v>
      </c>
      <c r="D13" s="2">
        <v>8416733</v>
      </c>
      <c r="E13" s="11">
        <v>1.67E-2</v>
      </c>
    </row>
    <row r="14" spans="1:5" hidden="1" outlineLevel="1" collapsed="1" x14ac:dyDescent="0.2">
      <c r="A14" s="10" t="s">
        <v>17</v>
      </c>
      <c r="B14" s="2">
        <v>18884368.239999998</v>
      </c>
      <c r="C14" s="11">
        <v>3.2199999999999999E-2</v>
      </c>
      <c r="D14" s="2">
        <v>0</v>
      </c>
      <c r="E14" s="11">
        <v>0</v>
      </c>
    </row>
    <row r="15" spans="1:5" hidden="1" outlineLevel="1" collapsed="1" x14ac:dyDescent="0.2">
      <c r="A15" s="10" t="s">
        <v>18</v>
      </c>
      <c r="B15" s="2">
        <v>-2014251</v>
      </c>
      <c r="C15" s="11">
        <v>-3.3999999999999998E-3</v>
      </c>
      <c r="D15" s="2">
        <v>0</v>
      </c>
      <c r="E15" s="11">
        <v>0</v>
      </c>
    </row>
    <row r="16" spans="1:5" hidden="1" outlineLevel="1" collapsed="1" x14ac:dyDescent="0.2">
      <c r="A16" s="10" t="s">
        <v>19</v>
      </c>
      <c r="B16" s="2">
        <v>25911678.579999998</v>
      </c>
      <c r="C16" s="11">
        <v>4.4200000000000003E-2</v>
      </c>
      <c r="D16" s="2">
        <v>8416733</v>
      </c>
      <c r="E16" s="11">
        <v>1.67E-2</v>
      </c>
    </row>
    <row r="17" spans="1:5" hidden="1" outlineLevel="1" collapsed="1" x14ac:dyDescent="0.2">
      <c r="A17" s="10" t="s">
        <v>20</v>
      </c>
      <c r="B17" s="2">
        <v>6899922</v>
      </c>
      <c r="C17" s="11">
        <v>1.18E-2</v>
      </c>
      <c r="D17" s="2">
        <v>0</v>
      </c>
      <c r="E17" s="11">
        <v>0</v>
      </c>
    </row>
    <row r="18" spans="1:5" collapsed="1" x14ac:dyDescent="0.2">
      <c r="A18" s="9" t="s">
        <v>21</v>
      </c>
      <c r="B18" s="2">
        <v>6014600</v>
      </c>
      <c r="C18" s="11">
        <v>1.03E-2</v>
      </c>
      <c r="D18" s="2">
        <v>6014600</v>
      </c>
      <c r="E18" s="11">
        <v>1.1900000000000001E-2</v>
      </c>
    </row>
    <row r="19" spans="1:5" hidden="1" outlineLevel="1" collapsed="1" x14ac:dyDescent="0.2">
      <c r="A19" s="10" t="s">
        <v>22</v>
      </c>
      <c r="B19" s="2">
        <v>6014600</v>
      </c>
      <c r="C19" s="11">
        <v>1.03E-2</v>
      </c>
      <c r="D19" s="2">
        <v>6014600</v>
      </c>
      <c r="E19" s="11">
        <v>1.1900000000000001E-2</v>
      </c>
    </row>
    <row r="20" spans="1:5" collapsed="1" x14ac:dyDescent="0.2">
      <c r="A20" s="9" t="s">
        <v>23</v>
      </c>
      <c r="B20" s="2">
        <v>1760610.18</v>
      </c>
      <c r="C20" s="11">
        <v>3.0000000000000001E-3</v>
      </c>
      <c r="D20" s="2">
        <v>0</v>
      </c>
      <c r="E20" s="11">
        <v>0</v>
      </c>
    </row>
    <row r="21" spans="1:5" hidden="1" outlineLevel="1" collapsed="1" x14ac:dyDescent="0.2">
      <c r="A21" s="10" t="s">
        <v>24</v>
      </c>
      <c r="B21" s="2">
        <v>1521132.46</v>
      </c>
      <c r="C21" s="11">
        <v>2.5999999999999999E-3</v>
      </c>
      <c r="D21" s="2">
        <v>0</v>
      </c>
      <c r="E21" s="11">
        <v>0</v>
      </c>
    </row>
    <row r="22" spans="1:5" hidden="1" outlineLevel="1" collapsed="1" x14ac:dyDescent="0.2">
      <c r="A22" s="10" t="s">
        <v>25</v>
      </c>
      <c r="B22" s="2">
        <v>155658.54999999999</v>
      </c>
      <c r="C22" s="11">
        <v>2.9999999999999997E-4</v>
      </c>
      <c r="D22" s="2">
        <v>0</v>
      </c>
      <c r="E22" s="11">
        <v>0</v>
      </c>
    </row>
    <row r="23" spans="1:5" hidden="1" outlineLevel="1" collapsed="1" x14ac:dyDescent="0.2">
      <c r="A23" s="10" t="s">
        <v>26</v>
      </c>
      <c r="B23" s="2">
        <v>18585.77</v>
      </c>
      <c r="C23" s="11">
        <v>0</v>
      </c>
      <c r="D23" s="2">
        <v>0</v>
      </c>
      <c r="E23" s="11">
        <v>0</v>
      </c>
    </row>
    <row r="24" spans="1:5" hidden="1" outlineLevel="1" collapsed="1" x14ac:dyDescent="0.2">
      <c r="A24" s="10" t="s">
        <v>27</v>
      </c>
      <c r="B24" s="2">
        <v>65233.4</v>
      </c>
      <c r="C24" s="11">
        <v>1E-4</v>
      </c>
      <c r="D24" s="2">
        <v>0</v>
      </c>
      <c r="E24" s="11">
        <v>0</v>
      </c>
    </row>
    <row r="25" spans="1:5" ht="15" x14ac:dyDescent="0.25">
      <c r="A25" s="8" t="s">
        <v>28</v>
      </c>
      <c r="B25" s="3">
        <v>122068441.93000001</v>
      </c>
      <c r="C25" s="12">
        <v>0.20810000000000001</v>
      </c>
      <c r="D25" s="3">
        <v>44932313.409999996</v>
      </c>
      <c r="E25" s="12">
        <v>8.8999999999999996E-2</v>
      </c>
    </row>
    <row r="26" spans="1:5" x14ac:dyDescent="0.2">
      <c r="A26" s="8" t="s">
        <v>29</v>
      </c>
      <c r="B26" t="s">
        <v>10</v>
      </c>
      <c r="C26" t="s">
        <v>10</v>
      </c>
      <c r="D26" t="s">
        <v>10</v>
      </c>
      <c r="E26" t="s">
        <v>10</v>
      </c>
    </row>
    <row r="27" spans="1:5" collapsed="1" x14ac:dyDescent="0.2">
      <c r="A27" s="9" t="s">
        <v>30</v>
      </c>
      <c r="B27" s="2">
        <v>457339133.69</v>
      </c>
      <c r="C27" s="11">
        <v>0.77959999999999996</v>
      </c>
      <c r="D27" s="2">
        <v>457339133.69</v>
      </c>
      <c r="E27" s="11">
        <v>0.90629999999999999</v>
      </c>
    </row>
    <row r="28" spans="1:5" hidden="1" outlineLevel="1" collapsed="1" x14ac:dyDescent="0.2">
      <c r="A28" s="10" t="s">
        <v>31</v>
      </c>
      <c r="B28" s="2">
        <v>453199490.69</v>
      </c>
      <c r="C28" s="11">
        <v>0.77249999999999996</v>
      </c>
      <c r="D28" s="2">
        <v>453199490.69</v>
      </c>
      <c r="E28" s="11">
        <v>0.89810000000000001</v>
      </c>
    </row>
    <row r="29" spans="1:5" hidden="1" outlineLevel="1" collapsed="1" x14ac:dyDescent="0.2">
      <c r="A29" s="10" t="s">
        <v>32</v>
      </c>
      <c r="B29" s="2">
        <v>4655475</v>
      </c>
      <c r="C29" s="11">
        <v>7.9000000000000008E-3</v>
      </c>
      <c r="D29" s="2">
        <v>4655475</v>
      </c>
      <c r="E29" s="11">
        <v>9.1999999999999998E-3</v>
      </c>
    </row>
    <row r="30" spans="1:5" hidden="1" outlineLevel="1" collapsed="1" x14ac:dyDescent="0.2">
      <c r="A30" s="10" t="s">
        <v>33</v>
      </c>
      <c r="B30" s="2">
        <v>-515832</v>
      </c>
      <c r="C30" s="11">
        <v>-8.9999999999999998E-4</v>
      </c>
      <c r="D30" s="2">
        <v>-515832</v>
      </c>
      <c r="E30" s="11">
        <v>-1E-3</v>
      </c>
    </row>
    <row r="31" spans="1:5" collapsed="1" x14ac:dyDescent="0.2">
      <c r="A31" s="9" t="s">
        <v>34</v>
      </c>
      <c r="B31" s="2">
        <v>7227994.3799999999</v>
      </c>
      <c r="C31" s="11">
        <v>1.23E-2</v>
      </c>
      <c r="D31" s="2">
        <v>2325360.33</v>
      </c>
      <c r="E31" s="11">
        <v>4.5999999999999999E-3</v>
      </c>
    </row>
    <row r="32" spans="1:5" hidden="1" outlineLevel="1" collapsed="1" x14ac:dyDescent="0.2">
      <c r="A32" s="10" t="s">
        <v>35</v>
      </c>
      <c r="B32" s="2">
        <v>7539925.7000000002</v>
      </c>
      <c r="C32" s="11">
        <v>1.29E-2</v>
      </c>
      <c r="D32" s="2">
        <v>2448160.33</v>
      </c>
      <c r="E32" s="11">
        <v>4.8999999999999998E-3</v>
      </c>
    </row>
    <row r="33" spans="1:7" hidden="1" outlineLevel="1" collapsed="1" x14ac:dyDescent="0.2">
      <c r="A33" s="10" t="s">
        <v>36</v>
      </c>
      <c r="B33" s="2">
        <v>-311931.32</v>
      </c>
      <c r="C33" s="11">
        <v>-5.0000000000000001E-4</v>
      </c>
      <c r="D33" s="2">
        <v>-122800</v>
      </c>
      <c r="E33" s="11">
        <v>-2.0000000000000001E-4</v>
      </c>
    </row>
    <row r="34" spans="1:7" ht="15" x14ac:dyDescent="0.25">
      <c r="A34" s="8" t="s">
        <v>37</v>
      </c>
      <c r="B34" s="3">
        <v>464567128.06999999</v>
      </c>
      <c r="C34" s="12">
        <v>0.79190000000000005</v>
      </c>
      <c r="D34" s="3">
        <v>459664494.01999998</v>
      </c>
      <c r="E34" s="12">
        <v>0.91100000000000003</v>
      </c>
    </row>
    <row r="35" spans="1:7" ht="15" x14ac:dyDescent="0.25">
      <c r="A35" s="6" t="s">
        <v>38</v>
      </c>
      <c r="B35" s="3">
        <v>586635570</v>
      </c>
      <c r="C35" s="12">
        <v>1</v>
      </c>
      <c r="D35" s="3">
        <v>504596807.43000001</v>
      </c>
      <c r="E35" s="12">
        <v>1</v>
      </c>
    </row>
    <row r="36" spans="1:7" x14ac:dyDescent="0.2">
      <c r="A36" s="6" t="s">
        <v>39</v>
      </c>
      <c r="B36" t="s">
        <v>10</v>
      </c>
      <c r="C36" t="s">
        <v>10</v>
      </c>
      <c r="D36" t="s">
        <v>10</v>
      </c>
      <c r="E36" t="s">
        <v>10</v>
      </c>
    </row>
    <row r="37" spans="1:7" x14ac:dyDescent="0.2">
      <c r="A37" s="8" t="s">
        <v>40</v>
      </c>
      <c r="B37" t="s">
        <v>10</v>
      </c>
      <c r="C37" t="s">
        <v>10</v>
      </c>
      <c r="D37" t="s">
        <v>10</v>
      </c>
      <c r="E37" t="s">
        <v>10</v>
      </c>
      <c r="G37" s="2"/>
    </row>
    <row r="38" spans="1:7" collapsed="1" x14ac:dyDescent="0.2">
      <c r="A38" s="9" t="s">
        <v>41</v>
      </c>
      <c r="B38" s="2">
        <v>-264400702.97999999</v>
      </c>
      <c r="C38" s="11">
        <v>0.45069999999999999</v>
      </c>
      <c r="D38" s="2">
        <v>-280608801.23000002</v>
      </c>
      <c r="E38" s="11">
        <v>0.55610000000000004</v>
      </c>
    </row>
    <row r="39" spans="1:7" hidden="1" outlineLevel="1" collapsed="1" x14ac:dyDescent="0.2">
      <c r="A39" s="10" t="s">
        <v>42</v>
      </c>
      <c r="B39" s="2">
        <v>-939050.69</v>
      </c>
      <c r="C39" s="11">
        <v>1.6000000000000001E-3</v>
      </c>
      <c r="D39" s="2">
        <v>0</v>
      </c>
      <c r="E39" s="11">
        <v>0</v>
      </c>
    </row>
    <row r="40" spans="1:7" hidden="1" outlineLevel="1" collapsed="1" x14ac:dyDescent="0.2">
      <c r="A40" s="10" t="s">
        <v>43</v>
      </c>
      <c r="B40" s="2">
        <v>-94782809.159999996</v>
      </c>
      <c r="C40" s="11">
        <v>0.16159999999999999</v>
      </c>
      <c r="D40" s="2">
        <v>-118386253.91</v>
      </c>
      <c r="E40" s="11">
        <v>0.2346</v>
      </c>
    </row>
    <row r="41" spans="1:7" hidden="1" outlineLevel="1" collapsed="1" x14ac:dyDescent="0.2">
      <c r="A41" s="10" t="s">
        <v>44</v>
      </c>
      <c r="B41" s="2">
        <v>-161468046</v>
      </c>
      <c r="C41" s="11">
        <v>0.2752</v>
      </c>
      <c r="D41" s="2">
        <v>-161468046</v>
      </c>
      <c r="E41" s="11">
        <v>0.32</v>
      </c>
    </row>
    <row r="42" spans="1:7" hidden="1" outlineLevel="1" collapsed="1" x14ac:dyDescent="0.2">
      <c r="A42" s="10" t="s">
        <v>45</v>
      </c>
      <c r="B42" s="2">
        <v>-618333</v>
      </c>
      <c r="C42" s="11">
        <v>1.1000000000000001E-3</v>
      </c>
      <c r="D42" s="2">
        <v>0</v>
      </c>
      <c r="E42" s="11">
        <v>0</v>
      </c>
    </row>
    <row r="43" spans="1:7" hidden="1" outlineLevel="1" collapsed="1" x14ac:dyDescent="0.2">
      <c r="A43" s="10" t="s">
        <v>46</v>
      </c>
      <c r="B43" s="2">
        <v>-2463412.96</v>
      </c>
      <c r="C43" s="11">
        <v>4.1999999999999997E-3</v>
      </c>
      <c r="D43" s="2">
        <v>-479557.96</v>
      </c>
      <c r="E43" s="11">
        <v>1E-3</v>
      </c>
    </row>
    <row r="44" spans="1:7" hidden="1" outlineLevel="1" collapsed="1" x14ac:dyDescent="0.2">
      <c r="A44" s="10" t="s">
        <v>47</v>
      </c>
      <c r="B44" s="2">
        <v>-345432.17</v>
      </c>
      <c r="C44" s="11">
        <v>5.9999999999999995E-4</v>
      </c>
      <c r="D44" s="2">
        <v>-57547.360000000001</v>
      </c>
      <c r="E44" s="11">
        <v>1E-4</v>
      </c>
    </row>
    <row r="45" spans="1:7" hidden="1" outlineLevel="1" collapsed="1" x14ac:dyDescent="0.2">
      <c r="A45" s="10" t="s">
        <v>48</v>
      </c>
      <c r="B45" s="2">
        <v>-1384579</v>
      </c>
      <c r="C45" s="11">
        <v>2.3999999999999998E-3</v>
      </c>
      <c r="D45" s="2">
        <v>-217396</v>
      </c>
      <c r="E45" s="11">
        <v>4.0000000000000002E-4</v>
      </c>
    </row>
    <row r="46" spans="1:7" hidden="1" outlineLevel="1" collapsed="1" x14ac:dyDescent="0.2">
      <c r="A46" s="10" t="s">
        <v>49</v>
      </c>
      <c r="B46" s="2">
        <v>479750.82</v>
      </c>
      <c r="C46" s="11">
        <v>-8.0000000000000004E-4</v>
      </c>
      <c r="D46" s="2">
        <v>479750.82</v>
      </c>
      <c r="E46" s="11">
        <v>-1E-3</v>
      </c>
    </row>
    <row r="47" spans="1:7" hidden="1" outlineLevel="1" collapsed="1" x14ac:dyDescent="0.2">
      <c r="A47" s="10" t="s">
        <v>50</v>
      </c>
      <c r="B47" s="2">
        <v>-2878790.82</v>
      </c>
      <c r="C47" s="11">
        <v>4.8999999999999998E-3</v>
      </c>
      <c r="D47" s="2">
        <v>-479750.82</v>
      </c>
      <c r="E47" s="11">
        <v>1E-3</v>
      </c>
    </row>
    <row r="48" spans="1:7" collapsed="1" x14ac:dyDescent="0.2">
      <c r="A48" s="9" t="s">
        <v>51</v>
      </c>
      <c r="B48" s="2">
        <v>9009881.6300000008</v>
      </c>
      <c r="C48" s="11">
        <v>-1.54E-2</v>
      </c>
      <c r="D48" s="2">
        <v>-989266.74</v>
      </c>
      <c r="E48" s="11">
        <v>2E-3</v>
      </c>
    </row>
    <row r="49" spans="1:5" hidden="1" outlineLevel="1" collapsed="1" x14ac:dyDescent="0.2">
      <c r="A49" s="10" t="s">
        <v>52</v>
      </c>
      <c r="B49" s="2">
        <v>-1974356.96</v>
      </c>
      <c r="C49" s="11">
        <v>3.3999999999999998E-3</v>
      </c>
      <c r="D49" s="2">
        <v>-1196362</v>
      </c>
      <c r="E49" s="11">
        <v>2.3999999999999998E-3</v>
      </c>
    </row>
    <row r="50" spans="1:5" hidden="1" outlineLevel="1" collapsed="1" x14ac:dyDescent="0.2">
      <c r="A50" s="10" t="s">
        <v>53</v>
      </c>
      <c r="B50" s="2">
        <v>-3190003.88</v>
      </c>
      <c r="C50" s="11">
        <v>5.4000000000000003E-3</v>
      </c>
      <c r="D50" s="2">
        <v>-309036.74</v>
      </c>
      <c r="E50" s="11">
        <v>5.9999999999999995E-4</v>
      </c>
    </row>
    <row r="51" spans="1:5" hidden="1" outlineLevel="1" collapsed="1" x14ac:dyDescent="0.2">
      <c r="A51" s="10" t="s">
        <v>54</v>
      </c>
      <c r="B51" s="2">
        <v>5882.53</v>
      </c>
      <c r="C51" s="11">
        <v>0</v>
      </c>
      <c r="D51" s="2">
        <v>0</v>
      </c>
      <c r="E51" s="11">
        <v>0</v>
      </c>
    </row>
    <row r="52" spans="1:5" hidden="1" outlineLevel="1" collapsed="1" x14ac:dyDescent="0.2">
      <c r="A52" s="10" t="s">
        <v>55</v>
      </c>
      <c r="B52" s="2">
        <v>-918497.21</v>
      </c>
      <c r="C52" s="11">
        <v>1.6000000000000001E-3</v>
      </c>
      <c r="D52" s="2">
        <v>-578868</v>
      </c>
      <c r="E52" s="11">
        <v>1.1000000000000001E-3</v>
      </c>
    </row>
    <row r="53" spans="1:5" hidden="1" outlineLevel="1" collapsed="1" x14ac:dyDescent="0.2">
      <c r="A53" s="10" t="s">
        <v>56</v>
      </c>
      <c r="B53" s="2">
        <v>-1521132.46</v>
      </c>
      <c r="C53" s="11">
        <v>2.5999999999999999E-3</v>
      </c>
      <c r="D53" s="2">
        <v>0</v>
      </c>
      <c r="E53" s="11">
        <v>0</v>
      </c>
    </row>
    <row r="54" spans="1:5" hidden="1" outlineLevel="1" collapsed="1" x14ac:dyDescent="0.2">
      <c r="A54" s="10" t="s">
        <v>57</v>
      </c>
      <c r="B54" s="2">
        <v>9742000</v>
      </c>
      <c r="C54" s="11">
        <v>-1.66E-2</v>
      </c>
      <c r="D54" s="2">
        <v>1095000</v>
      </c>
      <c r="E54" s="11">
        <v>-2.2000000000000001E-3</v>
      </c>
    </row>
    <row r="55" spans="1:5" hidden="1" outlineLevel="1" collapsed="1" x14ac:dyDescent="0.2">
      <c r="A55" s="10" t="s">
        <v>58</v>
      </c>
      <c r="B55" s="2">
        <v>721875.4</v>
      </c>
      <c r="C55" s="11">
        <v>-1.1999999999999999E-3</v>
      </c>
      <c r="D55" s="2">
        <v>0</v>
      </c>
      <c r="E55" s="11">
        <v>0</v>
      </c>
    </row>
    <row r="56" spans="1:5" hidden="1" outlineLevel="1" collapsed="1" x14ac:dyDescent="0.2">
      <c r="A56" s="10" t="s">
        <v>59</v>
      </c>
      <c r="B56" s="2">
        <v>16956.849999999999</v>
      </c>
      <c r="C56" s="11">
        <v>0</v>
      </c>
      <c r="D56" s="2">
        <v>0</v>
      </c>
      <c r="E56" s="11">
        <v>0</v>
      </c>
    </row>
    <row r="57" spans="1:5" hidden="1" outlineLevel="1" collapsed="1" x14ac:dyDescent="0.2">
      <c r="A57" s="10" t="s">
        <v>60</v>
      </c>
      <c r="B57" s="2">
        <v>6248935.3300000001</v>
      </c>
      <c r="C57" s="11">
        <v>-1.0699999999999999E-2</v>
      </c>
      <c r="D57" s="2">
        <v>0</v>
      </c>
      <c r="E57" s="11">
        <v>0</v>
      </c>
    </row>
    <row r="58" spans="1:5" hidden="1" outlineLevel="1" collapsed="1" x14ac:dyDescent="0.2">
      <c r="A58" s="10" t="s">
        <v>61</v>
      </c>
      <c r="B58" s="2">
        <v>-152478.99</v>
      </c>
      <c r="C58" s="11">
        <v>2.9999999999999997E-4</v>
      </c>
      <c r="D58" s="2">
        <v>0</v>
      </c>
      <c r="E58" s="11">
        <v>0</v>
      </c>
    </row>
    <row r="59" spans="1:5" hidden="1" outlineLevel="1" collapsed="1" x14ac:dyDescent="0.2">
      <c r="A59" s="10" t="s">
        <v>62</v>
      </c>
      <c r="B59" s="2">
        <v>6271.4</v>
      </c>
      <c r="C59" s="11">
        <v>0</v>
      </c>
      <c r="D59" s="2">
        <v>0</v>
      </c>
      <c r="E59" s="11">
        <v>0</v>
      </c>
    </row>
    <row r="60" spans="1:5" hidden="1" outlineLevel="1" collapsed="1" x14ac:dyDescent="0.2">
      <c r="A60" s="10" t="s">
        <v>63</v>
      </c>
      <c r="B60" s="2">
        <v>24429.62</v>
      </c>
      <c r="C60" s="11">
        <v>0</v>
      </c>
      <c r="D60" s="2">
        <v>0</v>
      </c>
      <c r="E60" s="11">
        <v>0</v>
      </c>
    </row>
    <row r="61" spans="1:5" collapsed="1" x14ac:dyDescent="0.2">
      <c r="A61" s="9" t="s">
        <v>64</v>
      </c>
      <c r="B61" s="2">
        <v>-1188579.8700000001</v>
      </c>
      <c r="C61" s="11">
        <v>2E-3</v>
      </c>
      <c r="D61" s="2">
        <v>-1148079.8700000001</v>
      </c>
      <c r="E61" s="11">
        <v>2.3E-3</v>
      </c>
    </row>
    <row r="62" spans="1:5" hidden="1" outlineLevel="1" collapsed="1" x14ac:dyDescent="0.2">
      <c r="A62" s="10" t="s">
        <v>65</v>
      </c>
      <c r="B62" s="2">
        <v>-651666.67000000004</v>
      </c>
      <c r="C62" s="11">
        <v>1.1000000000000001E-3</v>
      </c>
      <c r="D62" s="2">
        <v>-651666.67000000004</v>
      </c>
      <c r="E62" s="11">
        <v>1.2999999999999999E-3</v>
      </c>
    </row>
    <row r="63" spans="1:5" ht="25.5" hidden="1" outlineLevel="1" collapsed="1" x14ac:dyDescent="0.2">
      <c r="A63" s="10" t="s">
        <v>66</v>
      </c>
      <c r="B63" s="2">
        <v>1367786.8</v>
      </c>
      <c r="C63" s="11">
        <v>-2.3E-3</v>
      </c>
      <c r="D63" s="2">
        <v>-27213.200000000001</v>
      </c>
      <c r="E63" s="11">
        <v>1E-4</v>
      </c>
    </row>
    <row r="64" spans="1:5" hidden="1" outlineLevel="1" collapsed="1" x14ac:dyDescent="0.2">
      <c r="A64" s="10" t="s">
        <v>67</v>
      </c>
      <c r="B64" s="2">
        <v>-208533.33</v>
      </c>
      <c r="C64" s="11">
        <v>4.0000000000000002E-4</v>
      </c>
      <c r="D64" s="2">
        <v>-208533.33</v>
      </c>
      <c r="E64" s="11">
        <v>4.0000000000000002E-4</v>
      </c>
    </row>
    <row r="65" spans="1:5" hidden="1" outlineLevel="1" collapsed="1" x14ac:dyDescent="0.2">
      <c r="A65" s="10" t="s">
        <v>68</v>
      </c>
      <c r="B65" s="2">
        <v>-104266.67</v>
      </c>
      <c r="C65" s="11">
        <v>2.0000000000000001E-4</v>
      </c>
      <c r="D65" s="2">
        <v>-104266.67</v>
      </c>
      <c r="E65" s="11">
        <v>2.0000000000000001E-4</v>
      </c>
    </row>
    <row r="66" spans="1:5" hidden="1" outlineLevel="1" collapsed="1" x14ac:dyDescent="0.2">
      <c r="A66" s="10" t="s">
        <v>69</v>
      </c>
      <c r="B66" s="2">
        <v>-156400</v>
      </c>
      <c r="C66" s="11">
        <v>2.9999999999999997E-4</v>
      </c>
      <c r="D66" s="2">
        <v>-156400</v>
      </c>
      <c r="E66" s="11">
        <v>2.9999999999999997E-4</v>
      </c>
    </row>
    <row r="67" spans="1:5" hidden="1" outlineLevel="1" collapsed="1" x14ac:dyDescent="0.2">
      <c r="A67" s="10" t="s">
        <v>70</v>
      </c>
      <c r="B67" s="2">
        <v>-526100</v>
      </c>
      <c r="C67" s="11">
        <v>8.9999999999999998E-4</v>
      </c>
      <c r="D67" s="2">
        <v>0</v>
      </c>
      <c r="E67" s="11">
        <v>0</v>
      </c>
    </row>
    <row r="68" spans="1:5" hidden="1" outlineLevel="1" collapsed="1" x14ac:dyDescent="0.2">
      <c r="A68" s="10" t="s">
        <v>71</v>
      </c>
      <c r="B68" s="2">
        <v>-909400</v>
      </c>
      <c r="C68" s="11">
        <v>1.6000000000000001E-3</v>
      </c>
      <c r="D68" s="2">
        <v>0</v>
      </c>
      <c r="E68" s="11">
        <v>0</v>
      </c>
    </row>
    <row r="69" spans="1:5" ht="15" x14ac:dyDescent="0.25">
      <c r="A69" s="8" t="s">
        <v>72</v>
      </c>
      <c r="B69" s="3">
        <v>-256579401.22</v>
      </c>
      <c r="C69" s="12">
        <v>0.43740000000000001</v>
      </c>
      <c r="D69" s="3">
        <v>-282746147.83999997</v>
      </c>
      <c r="E69" s="12">
        <v>0.56030000000000002</v>
      </c>
    </row>
    <row r="70" spans="1:5" x14ac:dyDescent="0.2">
      <c r="A70" s="8" t="s">
        <v>73</v>
      </c>
      <c r="B70" t="s">
        <v>10</v>
      </c>
      <c r="C70" t="s">
        <v>10</v>
      </c>
      <c r="D70" t="s">
        <v>10</v>
      </c>
      <c r="E70" t="s">
        <v>10</v>
      </c>
    </row>
    <row r="71" spans="1:5" collapsed="1" x14ac:dyDescent="0.2">
      <c r="A71" s="9" t="s">
        <v>74</v>
      </c>
      <c r="B71" s="2">
        <v>-71597458</v>
      </c>
      <c r="C71" s="11">
        <v>0.122</v>
      </c>
      <c r="D71" s="2">
        <v>-11729694</v>
      </c>
      <c r="E71" s="11">
        <v>2.3199999999999998E-2</v>
      </c>
    </row>
    <row r="72" spans="1:5" hidden="1" outlineLevel="1" collapsed="1" x14ac:dyDescent="0.2">
      <c r="A72" s="10" t="s">
        <v>75</v>
      </c>
      <c r="B72" s="2">
        <v>-63958652</v>
      </c>
      <c r="C72" s="11">
        <v>0.109</v>
      </c>
      <c r="D72" s="2">
        <v>0</v>
      </c>
      <c r="E72" s="11">
        <v>0</v>
      </c>
    </row>
    <row r="73" spans="1:5" hidden="1" outlineLevel="1" collapsed="1" x14ac:dyDescent="0.2">
      <c r="A73" s="10" t="s">
        <v>76</v>
      </c>
      <c r="B73" s="2">
        <v>-7638806</v>
      </c>
      <c r="C73" s="11">
        <v>1.2999999999999999E-2</v>
      </c>
      <c r="D73" s="2">
        <v>-11729694</v>
      </c>
      <c r="E73" s="11">
        <v>2.3199999999999998E-2</v>
      </c>
    </row>
    <row r="74" spans="1:5" collapsed="1" x14ac:dyDescent="0.2">
      <c r="A74" s="9" t="s">
        <v>77</v>
      </c>
      <c r="B74" s="2">
        <v>-919744.21</v>
      </c>
      <c r="C74" s="11">
        <v>1.6000000000000001E-3</v>
      </c>
      <c r="D74" s="2">
        <v>-834133.33</v>
      </c>
      <c r="E74" s="11">
        <v>1.6999999999999999E-3</v>
      </c>
    </row>
    <row r="75" spans="1:5" hidden="1" outlineLevel="1" collapsed="1" x14ac:dyDescent="0.2">
      <c r="A75" s="10" t="s">
        <v>78</v>
      </c>
      <c r="B75" s="2">
        <v>-834133.33</v>
      </c>
      <c r="C75" s="11">
        <v>1.4E-3</v>
      </c>
      <c r="D75" s="2">
        <v>-834133.33</v>
      </c>
      <c r="E75" s="11">
        <v>1.6999999999999999E-3</v>
      </c>
    </row>
    <row r="76" spans="1:5" hidden="1" outlineLevel="1" collapsed="1" x14ac:dyDescent="0.2">
      <c r="A76" s="10" t="s">
        <v>79</v>
      </c>
      <c r="B76" s="2">
        <v>-85610.880000000005</v>
      </c>
      <c r="C76" s="11">
        <v>1E-4</v>
      </c>
      <c r="D76" s="2">
        <v>0</v>
      </c>
      <c r="E76" s="11">
        <v>0</v>
      </c>
    </row>
    <row r="77" spans="1:5" ht="15" x14ac:dyDescent="0.25">
      <c r="A77" s="8" t="s">
        <v>80</v>
      </c>
      <c r="B77" s="3">
        <v>-72517202.209999993</v>
      </c>
      <c r="C77" s="12">
        <v>0.1236</v>
      </c>
      <c r="D77" s="3">
        <v>-12563827.33</v>
      </c>
      <c r="E77" s="12">
        <v>2.4899999999999999E-2</v>
      </c>
    </row>
    <row r="78" spans="1:5" ht="15" x14ac:dyDescent="0.25">
      <c r="A78" s="6" t="s">
        <v>81</v>
      </c>
      <c r="B78" s="3">
        <v>-329096603.43000001</v>
      </c>
      <c r="C78" s="12">
        <v>0.56100000000000005</v>
      </c>
      <c r="D78" s="3">
        <v>-295309975.17000002</v>
      </c>
      <c r="E78" s="12">
        <v>0.58520000000000005</v>
      </c>
    </row>
    <row r="79" spans="1:5" x14ac:dyDescent="0.2">
      <c r="A79" s="6" t="s">
        <v>82</v>
      </c>
      <c r="B79" t="s">
        <v>10</v>
      </c>
      <c r="C79" t="s">
        <v>10</v>
      </c>
      <c r="D79" t="s">
        <v>10</v>
      </c>
      <c r="E79" t="s">
        <v>10</v>
      </c>
    </row>
    <row r="80" spans="1:5" x14ac:dyDescent="0.2">
      <c r="A80" s="8" t="s">
        <v>82</v>
      </c>
      <c r="B80" t="s">
        <v>10</v>
      </c>
      <c r="C80" t="s">
        <v>10</v>
      </c>
      <c r="D80" t="s">
        <v>10</v>
      </c>
      <c r="E80" t="s">
        <v>10</v>
      </c>
    </row>
    <row r="81" spans="1:5" collapsed="1" x14ac:dyDescent="0.2">
      <c r="A81" s="9" t="s">
        <v>83</v>
      </c>
      <c r="B81" s="2">
        <v>-200000000</v>
      </c>
      <c r="C81" s="11">
        <v>0.34089999999999998</v>
      </c>
      <c r="D81" s="2">
        <v>-200000000</v>
      </c>
      <c r="E81" s="11">
        <v>0.39639999999999997</v>
      </c>
    </row>
    <row r="82" spans="1:5" hidden="1" outlineLevel="1" collapsed="1" x14ac:dyDescent="0.2">
      <c r="A82" s="10" t="s">
        <v>84</v>
      </c>
      <c r="B82" s="2">
        <v>-200000000</v>
      </c>
      <c r="C82" s="11">
        <v>0.34089999999999998</v>
      </c>
      <c r="D82" s="2">
        <v>-200000000</v>
      </c>
      <c r="E82" s="11">
        <v>0.39639999999999997</v>
      </c>
    </row>
    <row r="83" spans="1:5" collapsed="1" x14ac:dyDescent="0.2">
      <c r="A83" s="9" t="s">
        <v>85</v>
      </c>
      <c r="B83" s="2">
        <v>-9286832.2599999998</v>
      </c>
      <c r="C83" s="11">
        <v>1.5800000000000002E-2</v>
      </c>
      <c r="D83" s="2">
        <v>-9286832.2599999998</v>
      </c>
      <c r="E83" s="11">
        <v>1.84E-2</v>
      </c>
    </row>
    <row r="84" spans="1:5" hidden="1" outlineLevel="1" collapsed="1" x14ac:dyDescent="0.2">
      <c r="A84" s="10" t="s">
        <v>86</v>
      </c>
      <c r="B84" s="2">
        <v>-9286832.2599999998</v>
      </c>
      <c r="C84" s="11">
        <v>1.5800000000000002E-2</v>
      </c>
      <c r="D84" s="2">
        <v>-9286832.2599999998</v>
      </c>
      <c r="E84" s="11">
        <v>1.84E-2</v>
      </c>
    </row>
    <row r="85" spans="1:5" collapsed="1" x14ac:dyDescent="0.2">
      <c r="A85" s="9" t="s">
        <v>87</v>
      </c>
      <c r="B85" s="2">
        <v>-48252134.310000002</v>
      </c>
      <c r="C85" s="11">
        <v>8.2299999999999998E-2</v>
      </c>
      <c r="D85" s="2">
        <v>0</v>
      </c>
      <c r="E85" s="11">
        <v>0</v>
      </c>
    </row>
    <row r="86" spans="1:5" hidden="1" outlineLevel="1" collapsed="1" x14ac:dyDescent="0.2">
      <c r="A86" s="10" t="s">
        <v>88</v>
      </c>
      <c r="B86" s="2">
        <v>-48252134.310000002</v>
      </c>
      <c r="C86" s="11">
        <v>8.2299999999999998E-2</v>
      </c>
      <c r="D86" s="2">
        <v>0</v>
      </c>
      <c r="E86" s="11">
        <v>0</v>
      </c>
    </row>
    <row r="87" spans="1:5" ht="15" x14ac:dyDescent="0.25">
      <c r="A87" s="8" t="s">
        <v>89</v>
      </c>
      <c r="B87" s="3">
        <v>-257538966.56999999</v>
      </c>
      <c r="C87" s="12">
        <v>0.439</v>
      </c>
      <c r="D87" s="3">
        <v>-209286832.25999999</v>
      </c>
      <c r="E87" s="12">
        <v>0.4148</v>
      </c>
    </row>
    <row r="88" spans="1:5" ht="15" x14ac:dyDescent="0.25">
      <c r="A88" s="6" t="s">
        <v>89</v>
      </c>
      <c r="B88" s="3">
        <v>-257538966.56999999</v>
      </c>
      <c r="C88" s="12">
        <v>0.439</v>
      </c>
      <c r="D88" s="3">
        <v>-209286832.25999999</v>
      </c>
      <c r="E88" s="12">
        <v>0.4148</v>
      </c>
    </row>
    <row r="89" spans="1:5" ht="15" x14ac:dyDescent="0.25">
      <c r="A89" s="6" t="s">
        <v>90</v>
      </c>
      <c r="B89" s="3">
        <v>-586635570</v>
      </c>
      <c r="C89" s="12">
        <v>1</v>
      </c>
      <c r="D89" s="3">
        <v>-504596807.43000001</v>
      </c>
      <c r="E89" s="12">
        <v>1</v>
      </c>
    </row>
    <row r="91" spans="1:5" x14ac:dyDescent="0.2">
      <c r="A91" s="4"/>
    </row>
  </sheetData>
  <autoFilter ref="A6:E6" xr:uid="{00000000-0009-0000-0000-000000000000}"/>
  <mergeCells count="5">
    <mergeCell ref="A1:E1"/>
    <mergeCell ref="A2:E2"/>
    <mergeCell ref="A3:E3"/>
    <mergeCell ref="A4:E4"/>
    <mergeCell ref="A5:E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3E17-BAB0-487D-AF7A-D806D571B7A2}">
  <sheetPr>
    <outlinePr summaryBelow="0"/>
  </sheetPr>
  <dimension ref="A1:E108"/>
  <sheetViews>
    <sheetView topLeftCell="A48" workbookViewId="0">
      <selection activeCell="B94" sqref="B94"/>
    </sheetView>
  </sheetViews>
  <sheetFormatPr baseColWidth="10" defaultRowHeight="12.75" outlineLevelRow="1" x14ac:dyDescent="0.2"/>
  <cols>
    <col min="1" max="1" width="60" customWidth="1"/>
    <col min="2" max="5" width="25" customWidth="1"/>
    <col min="8" max="8" width="15.28515625" bestFit="1" customWidth="1"/>
  </cols>
  <sheetData>
    <row r="1" spans="1:5" ht="39" x14ac:dyDescent="0.2">
      <c r="A1" s="138" t="s">
        <v>0</v>
      </c>
      <c r="B1" s="139"/>
      <c r="C1" s="139"/>
      <c r="D1" s="139"/>
      <c r="E1" s="139"/>
    </row>
    <row r="2" spans="1:5" ht="18.75" x14ac:dyDescent="0.2">
      <c r="A2" s="140" t="s">
        <v>1</v>
      </c>
      <c r="B2" s="139"/>
      <c r="C2" s="139"/>
      <c r="D2" s="139"/>
      <c r="E2" s="139"/>
    </row>
    <row r="3" spans="1:5" ht="18.75" x14ac:dyDescent="0.2">
      <c r="A3" s="140" t="s">
        <v>2</v>
      </c>
      <c r="B3" s="139"/>
      <c r="C3" s="139"/>
      <c r="D3" s="139"/>
      <c r="E3" s="139"/>
    </row>
    <row r="4" spans="1:5" ht="18.75" x14ac:dyDescent="0.2">
      <c r="A4" s="140" t="s">
        <v>3</v>
      </c>
      <c r="B4" s="139"/>
      <c r="C4" s="139"/>
      <c r="D4" s="139"/>
      <c r="E4" s="139"/>
    </row>
    <row r="5" spans="1:5" ht="18.75" x14ac:dyDescent="0.2">
      <c r="A5" s="140" t="s">
        <v>4</v>
      </c>
      <c r="B5" s="139"/>
      <c r="C5" s="139"/>
      <c r="D5" s="139"/>
      <c r="E5" s="139"/>
    </row>
    <row r="6" spans="1:5" ht="15.75" x14ac:dyDescent="0.2">
      <c r="A6" s="13" t="s">
        <v>5</v>
      </c>
      <c r="B6" s="13" t="s">
        <v>6</v>
      </c>
      <c r="C6" s="13" t="s">
        <v>8</v>
      </c>
      <c r="D6" s="13" t="s">
        <v>92</v>
      </c>
      <c r="E6" s="13" t="s">
        <v>91</v>
      </c>
    </row>
    <row r="7" spans="1:5" x14ac:dyDescent="0.2">
      <c r="A7" s="6" t="s">
        <v>9</v>
      </c>
      <c r="B7" t="s">
        <v>10</v>
      </c>
      <c r="C7" t="s">
        <v>10</v>
      </c>
      <c r="D7" t="s">
        <v>10</v>
      </c>
      <c r="E7" t="s">
        <v>10</v>
      </c>
    </row>
    <row r="8" spans="1:5" x14ac:dyDescent="0.2">
      <c r="A8" s="8" t="s">
        <v>11</v>
      </c>
      <c r="B8" t="s">
        <v>10</v>
      </c>
      <c r="C8" t="s">
        <v>10</v>
      </c>
      <c r="D8" t="s">
        <v>10</v>
      </c>
      <c r="E8" t="s">
        <v>10</v>
      </c>
    </row>
    <row r="9" spans="1:5" collapsed="1" x14ac:dyDescent="0.2">
      <c r="A9" s="9" t="s">
        <v>12</v>
      </c>
      <c r="B9" s="2">
        <v>64611513.93</v>
      </c>
      <c r="C9" s="2">
        <v>30500980.41</v>
      </c>
      <c r="D9" s="2">
        <v>34110533.520000003</v>
      </c>
      <c r="E9" s="11">
        <v>1.1183000000000001</v>
      </c>
    </row>
    <row r="10" spans="1:5" hidden="1" outlineLevel="1" collapsed="1" x14ac:dyDescent="0.2">
      <c r="A10" s="10" t="s">
        <v>13</v>
      </c>
      <c r="B10" s="2">
        <v>69156810.049999997</v>
      </c>
      <c r="C10" s="2">
        <v>300000</v>
      </c>
      <c r="D10" s="2">
        <v>68856810.049999997</v>
      </c>
      <c r="E10" s="11">
        <v>229.52269999999999</v>
      </c>
    </row>
    <row r="11" spans="1:5" hidden="1" outlineLevel="1" collapsed="1" x14ac:dyDescent="0.2">
      <c r="A11" s="10" t="s">
        <v>14</v>
      </c>
      <c r="B11" s="2">
        <v>-8208790.9699999997</v>
      </c>
      <c r="C11" s="2">
        <v>0</v>
      </c>
      <c r="D11" s="2">
        <v>-8208790.9699999997</v>
      </c>
      <c r="E11" s="11">
        <v>1</v>
      </c>
    </row>
    <row r="12" spans="1:5" hidden="1" outlineLevel="1" collapsed="1" x14ac:dyDescent="0.2">
      <c r="A12" s="10" t="s">
        <v>15</v>
      </c>
      <c r="B12" s="2">
        <v>3663494.85</v>
      </c>
      <c r="C12" s="2">
        <v>30200980.41</v>
      </c>
      <c r="D12" s="2">
        <v>-26537485.559999999</v>
      </c>
      <c r="E12" s="11">
        <v>-0.87870000000000004</v>
      </c>
    </row>
    <row r="13" spans="1:5" ht="25.5" x14ac:dyDescent="0.2">
      <c r="A13" s="9" t="s">
        <v>16</v>
      </c>
      <c r="B13" s="2">
        <v>49681717.82</v>
      </c>
      <c r="C13" s="2">
        <v>8416733</v>
      </c>
      <c r="D13" s="2">
        <v>41264984.82</v>
      </c>
      <c r="E13" s="11">
        <v>4.9027000000000003</v>
      </c>
    </row>
    <row r="14" spans="1:5" outlineLevel="1" collapsed="1" x14ac:dyDescent="0.2">
      <c r="A14" s="10" t="s">
        <v>17</v>
      </c>
      <c r="B14" s="2">
        <v>18884368.239999998</v>
      </c>
      <c r="C14" s="2">
        <v>0</v>
      </c>
      <c r="D14" s="2">
        <v>18884368.239999998</v>
      </c>
      <c r="E14" s="11">
        <v>1</v>
      </c>
    </row>
    <row r="15" spans="1:5" outlineLevel="1" collapsed="1" x14ac:dyDescent="0.2">
      <c r="A15" s="10" t="s">
        <v>18</v>
      </c>
      <c r="B15" s="2">
        <v>-2014251</v>
      </c>
      <c r="C15" s="2">
        <v>0</v>
      </c>
      <c r="D15" s="2">
        <v>-2014251</v>
      </c>
      <c r="E15" s="11">
        <v>1</v>
      </c>
    </row>
    <row r="16" spans="1:5" outlineLevel="1" collapsed="1" x14ac:dyDescent="0.2">
      <c r="A16" s="10" t="s">
        <v>19</v>
      </c>
      <c r="B16" s="2">
        <v>25911678.579999998</v>
      </c>
      <c r="C16" s="2">
        <v>8416733</v>
      </c>
      <c r="D16" s="2">
        <v>17494945.579999998</v>
      </c>
      <c r="E16" s="11">
        <v>2.0785999999999998</v>
      </c>
    </row>
    <row r="17" spans="1:5" outlineLevel="1" collapsed="1" x14ac:dyDescent="0.2">
      <c r="A17" s="10" t="s">
        <v>20</v>
      </c>
      <c r="B17" s="2">
        <v>6899922</v>
      </c>
      <c r="C17" s="2">
        <v>0</v>
      </c>
      <c r="D17" s="2">
        <v>6899922</v>
      </c>
      <c r="E17" s="11">
        <v>1</v>
      </c>
    </row>
    <row r="18" spans="1:5" collapsed="1" x14ac:dyDescent="0.2">
      <c r="A18" s="9" t="s">
        <v>21</v>
      </c>
      <c r="B18" s="2">
        <v>6014600</v>
      </c>
      <c r="C18" s="2">
        <v>6014600</v>
      </c>
      <c r="D18" s="2">
        <v>0</v>
      </c>
      <c r="E18" s="11">
        <v>0</v>
      </c>
    </row>
    <row r="19" spans="1:5" hidden="1" outlineLevel="1" collapsed="1" x14ac:dyDescent="0.2">
      <c r="A19" s="10" t="s">
        <v>22</v>
      </c>
      <c r="B19" s="2">
        <v>6014600</v>
      </c>
      <c r="C19" s="2">
        <v>6014600</v>
      </c>
      <c r="D19" s="2">
        <v>0</v>
      </c>
      <c r="E19" s="11">
        <v>0</v>
      </c>
    </row>
    <row r="20" spans="1:5" collapsed="1" x14ac:dyDescent="0.2">
      <c r="A20" s="9" t="s">
        <v>23</v>
      </c>
      <c r="B20" s="2">
        <v>1760610.18</v>
      </c>
      <c r="C20" s="2">
        <v>0</v>
      </c>
      <c r="D20" s="2">
        <v>1760610.18</v>
      </c>
      <c r="E20" s="11">
        <v>1</v>
      </c>
    </row>
    <row r="21" spans="1:5" hidden="1" outlineLevel="1" collapsed="1" x14ac:dyDescent="0.2">
      <c r="A21" s="10" t="s">
        <v>24</v>
      </c>
      <c r="B21" s="2">
        <v>1521132.46</v>
      </c>
      <c r="C21" s="2">
        <v>0</v>
      </c>
      <c r="D21" s="2">
        <v>1521132.46</v>
      </c>
      <c r="E21" s="11">
        <v>1</v>
      </c>
    </row>
    <row r="22" spans="1:5" hidden="1" outlineLevel="1" collapsed="1" x14ac:dyDescent="0.2">
      <c r="A22" s="10" t="s">
        <v>25</v>
      </c>
      <c r="B22" s="2">
        <v>155658.54999999999</v>
      </c>
      <c r="C22" s="2">
        <v>0</v>
      </c>
      <c r="D22" s="2">
        <v>155658.54999999999</v>
      </c>
      <c r="E22" s="11">
        <v>1</v>
      </c>
    </row>
    <row r="23" spans="1:5" hidden="1" outlineLevel="1" collapsed="1" x14ac:dyDescent="0.2">
      <c r="A23" s="10" t="s">
        <v>26</v>
      </c>
      <c r="B23" s="2">
        <v>18585.77</v>
      </c>
      <c r="C23" s="2">
        <v>0</v>
      </c>
      <c r="D23" s="2">
        <v>18585.77</v>
      </c>
      <c r="E23" s="11">
        <v>1</v>
      </c>
    </row>
    <row r="24" spans="1:5" hidden="1" outlineLevel="1" collapsed="1" x14ac:dyDescent="0.2">
      <c r="A24" s="10" t="s">
        <v>27</v>
      </c>
      <c r="B24" s="2">
        <v>65233.4</v>
      </c>
      <c r="C24" s="2">
        <v>0</v>
      </c>
      <c r="D24" s="2">
        <v>65233.4</v>
      </c>
      <c r="E24" s="11">
        <v>1</v>
      </c>
    </row>
    <row r="25" spans="1:5" ht="15" x14ac:dyDescent="0.25">
      <c r="A25" s="8" t="s">
        <v>28</v>
      </c>
      <c r="B25" s="3">
        <v>122068441.93000001</v>
      </c>
      <c r="C25" s="3">
        <v>44932313.409999996</v>
      </c>
      <c r="D25" s="3">
        <v>77136128.519999996</v>
      </c>
      <c r="E25" s="12">
        <v>1.7166999999999999</v>
      </c>
    </row>
    <row r="26" spans="1:5" x14ac:dyDescent="0.2">
      <c r="A26" s="8" t="s">
        <v>29</v>
      </c>
      <c r="B26" t="s">
        <v>10</v>
      </c>
      <c r="C26" t="s">
        <v>10</v>
      </c>
      <c r="D26" t="s">
        <v>10</v>
      </c>
      <c r="E26" t="s">
        <v>10</v>
      </c>
    </row>
    <row r="27" spans="1:5" collapsed="1" x14ac:dyDescent="0.2">
      <c r="A27" s="9" t="s">
        <v>30</v>
      </c>
      <c r="B27" s="2">
        <v>457339133.69</v>
      </c>
      <c r="C27" s="2">
        <v>457339133.69</v>
      </c>
      <c r="D27" s="2">
        <v>0</v>
      </c>
      <c r="E27" s="11">
        <v>0</v>
      </c>
    </row>
    <row r="28" spans="1:5" hidden="1" outlineLevel="1" collapsed="1" x14ac:dyDescent="0.2">
      <c r="A28" s="10" t="s">
        <v>31</v>
      </c>
      <c r="B28" s="2">
        <v>453199490.69</v>
      </c>
      <c r="C28" s="2">
        <v>453199490.69</v>
      </c>
      <c r="D28" s="2">
        <v>0</v>
      </c>
      <c r="E28" s="11">
        <v>0</v>
      </c>
    </row>
    <row r="29" spans="1:5" hidden="1" outlineLevel="1" collapsed="1" x14ac:dyDescent="0.2">
      <c r="A29" s="10" t="s">
        <v>32</v>
      </c>
      <c r="B29" s="2">
        <v>4655475</v>
      </c>
      <c r="C29" s="2">
        <v>4655475</v>
      </c>
      <c r="D29" s="2">
        <v>0</v>
      </c>
      <c r="E29" s="11">
        <v>0</v>
      </c>
    </row>
    <row r="30" spans="1:5" hidden="1" outlineLevel="1" collapsed="1" x14ac:dyDescent="0.2">
      <c r="A30" s="10" t="s">
        <v>33</v>
      </c>
      <c r="B30" s="2">
        <v>-515832</v>
      </c>
      <c r="C30" s="2">
        <v>-515832</v>
      </c>
      <c r="D30" s="2">
        <v>0</v>
      </c>
      <c r="E30" s="11">
        <v>0</v>
      </c>
    </row>
    <row r="31" spans="1:5" collapsed="1" x14ac:dyDescent="0.2">
      <c r="A31" s="9" t="s">
        <v>34</v>
      </c>
      <c r="B31" s="2">
        <v>7227994.3799999999</v>
      </c>
      <c r="C31" s="2">
        <v>2325360.33</v>
      </c>
      <c r="D31" s="2">
        <v>4902634.05</v>
      </c>
      <c r="E31" s="11">
        <v>2.1082999999999998</v>
      </c>
    </row>
    <row r="32" spans="1:5" hidden="1" outlineLevel="1" collapsed="1" x14ac:dyDescent="0.2">
      <c r="A32" s="10" t="s">
        <v>35</v>
      </c>
      <c r="B32" s="2">
        <v>7539925.7000000002</v>
      </c>
      <c r="C32" s="2">
        <v>2448160.33</v>
      </c>
      <c r="D32" s="2">
        <v>5091765.37</v>
      </c>
      <c r="E32" s="11">
        <v>2.0798000000000001</v>
      </c>
    </row>
    <row r="33" spans="1:5" hidden="1" outlineLevel="1" collapsed="1" x14ac:dyDescent="0.2">
      <c r="A33" s="10" t="s">
        <v>36</v>
      </c>
      <c r="B33" s="2">
        <v>-311931.32</v>
      </c>
      <c r="C33" s="2">
        <v>-122800</v>
      </c>
      <c r="D33" s="2">
        <v>-189131.32</v>
      </c>
      <c r="E33" s="11">
        <v>1.5402</v>
      </c>
    </row>
    <row r="34" spans="1:5" ht="15" x14ac:dyDescent="0.25">
      <c r="A34" s="8" t="s">
        <v>37</v>
      </c>
      <c r="B34" s="3">
        <v>464567128.06999999</v>
      </c>
      <c r="C34" s="3">
        <v>459664494.01999998</v>
      </c>
      <c r="D34" s="3">
        <v>4902634.05</v>
      </c>
      <c r="E34" s="12">
        <v>1.0699999999999999E-2</v>
      </c>
    </row>
    <row r="35" spans="1:5" ht="15" x14ac:dyDescent="0.25">
      <c r="A35" s="6" t="s">
        <v>38</v>
      </c>
      <c r="B35" s="3">
        <v>586635570</v>
      </c>
      <c r="C35" s="3">
        <v>504596807.43000001</v>
      </c>
      <c r="D35" s="3">
        <v>82038762.569999993</v>
      </c>
      <c r="E35" s="12">
        <v>0.16259999999999999</v>
      </c>
    </row>
    <row r="36" spans="1:5" x14ac:dyDescent="0.2">
      <c r="A36" s="6" t="s">
        <v>39</v>
      </c>
      <c r="B36" t="s">
        <v>10</v>
      </c>
      <c r="C36" t="s">
        <v>10</v>
      </c>
      <c r="D36" t="s">
        <v>10</v>
      </c>
      <c r="E36" t="s">
        <v>10</v>
      </c>
    </row>
    <row r="37" spans="1:5" x14ac:dyDescent="0.2">
      <c r="A37" s="8" t="s">
        <v>40</v>
      </c>
      <c r="B37" t="s">
        <v>10</v>
      </c>
      <c r="C37" t="s">
        <v>10</v>
      </c>
      <c r="D37" t="s">
        <v>10</v>
      </c>
      <c r="E37" t="s">
        <v>10</v>
      </c>
    </row>
    <row r="38" spans="1:5" x14ac:dyDescent="0.2">
      <c r="A38" s="9" t="s">
        <v>41</v>
      </c>
      <c r="B38" s="2">
        <v>-264400702.97999999</v>
      </c>
      <c r="C38" s="2">
        <v>-280608801.23000002</v>
      </c>
      <c r="D38" s="2">
        <v>16208098.25</v>
      </c>
      <c r="E38" s="11">
        <v>-5.7799999999999997E-2</v>
      </c>
    </row>
    <row r="39" spans="1:5" outlineLevel="1" collapsed="1" x14ac:dyDescent="0.2">
      <c r="A39" s="10" t="s">
        <v>42</v>
      </c>
      <c r="B39" s="2">
        <v>-939050.69</v>
      </c>
      <c r="C39" s="2">
        <v>0</v>
      </c>
      <c r="D39" s="2">
        <v>-939050.69</v>
      </c>
      <c r="E39" s="11">
        <v>1</v>
      </c>
    </row>
    <row r="40" spans="1:5" outlineLevel="1" collapsed="1" x14ac:dyDescent="0.2">
      <c r="A40" s="10" t="s">
        <v>43</v>
      </c>
      <c r="B40" s="2">
        <v>-94782809.159999996</v>
      </c>
      <c r="C40" s="2">
        <v>-118386253.91</v>
      </c>
      <c r="D40" s="2">
        <v>23603444.75</v>
      </c>
      <c r="E40" s="11">
        <v>-0.19939999999999999</v>
      </c>
    </row>
    <row r="41" spans="1:5" outlineLevel="1" collapsed="1" x14ac:dyDescent="0.2">
      <c r="A41" s="10" t="s">
        <v>44</v>
      </c>
      <c r="B41" s="2">
        <v>-161468046</v>
      </c>
      <c r="C41" s="2">
        <v>-161468046</v>
      </c>
      <c r="D41" s="2">
        <v>0</v>
      </c>
      <c r="E41" s="11">
        <v>0</v>
      </c>
    </row>
    <row r="42" spans="1:5" outlineLevel="1" collapsed="1" x14ac:dyDescent="0.2">
      <c r="A42" s="10" t="s">
        <v>45</v>
      </c>
      <c r="B42" s="2">
        <v>-618333</v>
      </c>
      <c r="C42" s="2">
        <v>0</v>
      </c>
      <c r="D42" s="2">
        <v>-618333</v>
      </c>
      <c r="E42" s="11">
        <v>1</v>
      </c>
    </row>
    <row r="43" spans="1:5" outlineLevel="1" collapsed="1" x14ac:dyDescent="0.2">
      <c r="A43" s="10" t="s">
        <v>46</v>
      </c>
      <c r="B43" s="2">
        <v>-2463412.96</v>
      </c>
      <c r="C43" s="2">
        <v>-479557.96</v>
      </c>
      <c r="D43" s="2">
        <v>-1983855</v>
      </c>
      <c r="E43" s="11">
        <v>4.1368</v>
      </c>
    </row>
    <row r="44" spans="1:5" outlineLevel="1" collapsed="1" x14ac:dyDescent="0.2">
      <c r="A44" s="10" t="s">
        <v>47</v>
      </c>
      <c r="B44" s="2">
        <v>-345432.17</v>
      </c>
      <c r="C44" s="2">
        <v>-57547.360000000001</v>
      </c>
      <c r="D44" s="2">
        <v>-287884.81</v>
      </c>
      <c r="E44" s="11">
        <v>5.0026000000000002</v>
      </c>
    </row>
    <row r="45" spans="1:5" outlineLevel="1" collapsed="1" x14ac:dyDescent="0.2">
      <c r="A45" s="10" t="s">
        <v>48</v>
      </c>
      <c r="B45" s="2">
        <v>-1384579</v>
      </c>
      <c r="C45" s="2">
        <v>-217396</v>
      </c>
      <c r="D45" s="2">
        <v>-1167183</v>
      </c>
      <c r="E45" s="11">
        <v>5.3689</v>
      </c>
    </row>
    <row r="46" spans="1:5" outlineLevel="1" collapsed="1" x14ac:dyDescent="0.2">
      <c r="A46" s="10" t="s">
        <v>49</v>
      </c>
      <c r="B46" s="2">
        <v>479750.82</v>
      </c>
      <c r="C46" s="2">
        <v>479750.82</v>
      </c>
      <c r="D46" s="2">
        <v>0</v>
      </c>
      <c r="E46" s="11">
        <v>0</v>
      </c>
    </row>
    <row r="47" spans="1:5" outlineLevel="1" collapsed="1" x14ac:dyDescent="0.2">
      <c r="A47" s="10" t="s">
        <v>50</v>
      </c>
      <c r="B47" s="2">
        <v>-2878790.82</v>
      </c>
      <c r="C47" s="2">
        <v>-479750.82</v>
      </c>
      <c r="D47" s="2">
        <v>-2399040</v>
      </c>
      <c r="E47" s="11">
        <v>5.0006000000000004</v>
      </c>
    </row>
    <row r="48" spans="1:5" collapsed="1" x14ac:dyDescent="0.2">
      <c r="A48" s="9" t="s">
        <v>51</v>
      </c>
      <c r="B48" s="2">
        <v>9009881.6300000008</v>
      </c>
      <c r="C48" s="2">
        <v>-989266.74</v>
      </c>
      <c r="D48" s="2">
        <v>9999148.3699999992</v>
      </c>
      <c r="E48" s="11">
        <v>-10.1076</v>
      </c>
    </row>
    <row r="49" spans="1:5" hidden="1" outlineLevel="1" collapsed="1" x14ac:dyDescent="0.2">
      <c r="A49" s="10" t="s">
        <v>52</v>
      </c>
      <c r="B49" s="2">
        <v>-1974356.96</v>
      </c>
      <c r="C49" s="2">
        <v>-1196362</v>
      </c>
      <c r="D49" s="2">
        <v>-777994.96</v>
      </c>
      <c r="E49" s="11">
        <v>0.65029999999999999</v>
      </c>
    </row>
    <row r="50" spans="1:5" hidden="1" outlineLevel="1" collapsed="1" x14ac:dyDescent="0.2">
      <c r="A50" s="10" t="s">
        <v>53</v>
      </c>
      <c r="B50" s="2">
        <v>-3190003.88</v>
      </c>
      <c r="C50" s="2">
        <v>-309036.74</v>
      </c>
      <c r="D50" s="2">
        <v>-2880967.14</v>
      </c>
      <c r="E50" s="11">
        <v>9.3224</v>
      </c>
    </row>
    <row r="51" spans="1:5" hidden="1" outlineLevel="1" collapsed="1" x14ac:dyDescent="0.2">
      <c r="A51" s="10" t="s">
        <v>54</v>
      </c>
      <c r="B51" s="2">
        <v>5882.53</v>
      </c>
      <c r="C51" s="2">
        <v>0</v>
      </c>
      <c r="D51" s="2">
        <v>5882.53</v>
      </c>
      <c r="E51" s="11">
        <v>1</v>
      </c>
    </row>
    <row r="52" spans="1:5" hidden="1" outlineLevel="1" collapsed="1" x14ac:dyDescent="0.2">
      <c r="A52" s="10" t="s">
        <v>55</v>
      </c>
      <c r="B52" s="2">
        <v>-918497.21</v>
      </c>
      <c r="C52" s="2">
        <v>-578868</v>
      </c>
      <c r="D52" s="2">
        <v>-339629.21</v>
      </c>
      <c r="E52" s="11">
        <v>0.5867</v>
      </c>
    </row>
    <row r="53" spans="1:5" hidden="1" outlineLevel="1" collapsed="1" x14ac:dyDescent="0.2">
      <c r="A53" s="10" t="s">
        <v>56</v>
      </c>
      <c r="B53" s="2">
        <v>-1521132.46</v>
      </c>
      <c r="C53" s="2">
        <v>0</v>
      </c>
      <c r="D53" s="2">
        <v>-1521132.46</v>
      </c>
      <c r="E53" s="11">
        <v>1</v>
      </c>
    </row>
    <row r="54" spans="1:5" hidden="1" outlineLevel="1" collapsed="1" x14ac:dyDescent="0.2">
      <c r="A54" s="10" t="s">
        <v>57</v>
      </c>
      <c r="B54" s="2">
        <v>9742000</v>
      </c>
      <c r="C54" s="2">
        <v>1095000</v>
      </c>
      <c r="D54" s="2">
        <v>8647000</v>
      </c>
      <c r="E54" s="11">
        <v>7.8967999999999998</v>
      </c>
    </row>
    <row r="55" spans="1:5" hidden="1" outlineLevel="1" collapsed="1" x14ac:dyDescent="0.2">
      <c r="A55" s="10" t="s">
        <v>58</v>
      </c>
      <c r="B55" s="2">
        <v>721875.4</v>
      </c>
      <c r="C55" s="2">
        <v>0</v>
      </c>
      <c r="D55" s="2">
        <v>721875.4</v>
      </c>
      <c r="E55" s="11">
        <v>1</v>
      </c>
    </row>
    <row r="56" spans="1:5" hidden="1" outlineLevel="1" collapsed="1" x14ac:dyDescent="0.2">
      <c r="A56" s="10" t="s">
        <v>59</v>
      </c>
      <c r="B56" s="2">
        <v>16956.849999999999</v>
      </c>
      <c r="C56" s="2">
        <v>0</v>
      </c>
      <c r="D56" s="2">
        <v>16956.849999999999</v>
      </c>
      <c r="E56" s="11">
        <v>1</v>
      </c>
    </row>
    <row r="57" spans="1:5" hidden="1" outlineLevel="1" collapsed="1" x14ac:dyDescent="0.2">
      <c r="A57" s="10" t="s">
        <v>60</v>
      </c>
      <c r="B57" s="2">
        <v>6248935.3300000001</v>
      </c>
      <c r="C57" s="2">
        <v>0</v>
      </c>
      <c r="D57" s="2">
        <v>6248935.3300000001</v>
      </c>
      <c r="E57" s="11">
        <v>1</v>
      </c>
    </row>
    <row r="58" spans="1:5" hidden="1" outlineLevel="1" collapsed="1" x14ac:dyDescent="0.2">
      <c r="A58" s="10" t="s">
        <v>61</v>
      </c>
      <c r="B58" s="2">
        <v>-152478.99</v>
      </c>
      <c r="C58" s="2">
        <v>0</v>
      </c>
      <c r="D58" s="2">
        <v>-152478.99</v>
      </c>
      <c r="E58" s="11">
        <v>1</v>
      </c>
    </row>
    <row r="59" spans="1:5" hidden="1" outlineLevel="1" collapsed="1" x14ac:dyDescent="0.2">
      <c r="A59" s="10" t="s">
        <v>62</v>
      </c>
      <c r="B59" s="2">
        <v>6271.4</v>
      </c>
      <c r="C59" s="2">
        <v>0</v>
      </c>
      <c r="D59" s="2">
        <v>6271.4</v>
      </c>
      <c r="E59" s="11">
        <v>1</v>
      </c>
    </row>
    <row r="60" spans="1:5" hidden="1" outlineLevel="1" collapsed="1" x14ac:dyDescent="0.2">
      <c r="A60" s="10" t="s">
        <v>63</v>
      </c>
      <c r="B60" s="2">
        <v>24429.62</v>
      </c>
      <c r="C60" s="2">
        <v>0</v>
      </c>
      <c r="D60" s="2">
        <v>24429.62</v>
      </c>
      <c r="E60" s="11">
        <v>1</v>
      </c>
    </row>
    <row r="61" spans="1:5" collapsed="1" x14ac:dyDescent="0.2">
      <c r="A61" s="9" t="s">
        <v>64</v>
      </c>
      <c r="B61" s="2">
        <v>-1188579.8700000001</v>
      </c>
      <c r="C61" s="2">
        <v>-1148079.8700000001</v>
      </c>
      <c r="D61" s="2">
        <v>-40500</v>
      </c>
      <c r="E61" s="11">
        <v>3.5299999999999998E-2</v>
      </c>
    </row>
    <row r="62" spans="1:5" hidden="1" outlineLevel="1" collapsed="1" x14ac:dyDescent="0.2">
      <c r="A62" s="10" t="s">
        <v>65</v>
      </c>
      <c r="B62" s="2">
        <v>-651666.67000000004</v>
      </c>
      <c r="C62" s="2">
        <v>-651666.67000000004</v>
      </c>
      <c r="D62" s="2">
        <v>0</v>
      </c>
      <c r="E62" s="11">
        <v>0</v>
      </c>
    </row>
    <row r="63" spans="1:5" ht="25.5" hidden="1" outlineLevel="1" collapsed="1" x14ac:dyDescent="0.2">
      <c r="A63" s="10" t="s">
        <v>66</v>
      </c>
      <c r="B63" s="2">
        <v>1367786.8</v>
      </c>
      <c r="C63" s="2">
        <v>-27213.200000000001</v>
      </c>
      <c r="D63" s="2">
        <v>1395000</v>
      </c>
      <c r="E63" s="11">
        <v>-51.261899999999997</v>
      </c>
    </row>
    <row r="64" spans="1:5" hidden="1" outlineLevel="1" collapsed="1" x14ac:dyDescent="0.2">
      <c r="A64" s="10" t="s">
        <v>67</v>
      </c>
      <c r="B64" s="2">
        <v>-208533.33</v>
      </c>
      <c r="C64" s="2">
        <v>-208533.33</v>
      </c>
      <c r="D64" s="2">
        <v>0</v>
      </c>
      <c r="E64" s="11">
        <v>0</v>
      </c>
    </row>
    <row r="65" spans="1:5" hidden="1" outlineLevel="1" collapsed="1" x14ac:dyDescent="0.2">
      <c r="A65" s="10" t="s">
        <v>68</v>
      </c>
      <c r="B65" s="2">
        <v>-104266.67</v>
      </c>
      <c r="C65" s="2">
        <v>-104266.67</v>
      </c>
      <c r="D65" s="2">
        <v>0</v>
      </c>
      <c r="E65" s="11">
        <v>0</v>
      </c>
    </row>
    <row r="66" spans="1:5" hidden="1" outlineLevel="1" collapsed="1" x14ac:dyDescent="0.2">
      <c r="A66" s="10" t="s">
        <v>69</v>
      </c>
      <c r="B66" s="2">
        <v>-156400</v>
      </c>
      <c r="C66" s="2">
        <v>-156400</v>
      </c>
      <c r="D66" s="2">
        <v>0</v>
      </c>
      <c r="E66" s="11">
        <v>0</v>
      </c>
    </row>
    <row r="67" spans="1:5" hidden="1" outlineLevel="1" collapsed="1" x14ac:dyDescent="0.2">
      <c r="A67" s="10" t="s">
        <v>70</v>
      </c>
      <c r="B67" s="2">
        <v>-526100</v>
      </c>
      <c r="C67" s="2">
        <v>0</v>
      </c>
      <c r="D67" s="2">
        <v>-526100</v>
      </c>
      <c r="E67" s="11">
        <v>1</v>
      </c>
    </row>
    <row r="68" spans="1:5" hidden="1" outlineLevel="1" collapsed="1" x14ac:dyDescent="0.2">
      <c r="A68" s="10" t="s">
        <v>71</v>
      </c>
      <c r="B68" s="2">
        <v>-909400</v>
      </c>
      <c r="C68" s="2">
        <v>0</v>
      </c>
      <c r="D68" s="2">
        <v>-909400</v>
      </c>
      <c r="E68" s="11">
        <v>1</v>
      </c>
    </row>
    <row r="69" spans="1:5" ht="15" x14ac:dyDescent="0.25">
      <c r="A69" s="8" t="s">
        <v>72</v>
      </c>
      <c r="B69" s="3">
        <v>-256579401.22</v>
      </c>
      <c r="C69" s="3">
        <v>-282746147.83999997</v>
      </c>
      <c r="D69" s="3">
        <v>26166746.620000001</v>
      </c>
      <c r="E69" s="12">
        <v>-9.2499999999999999E-2</v>
      </c>
    </row>
    <row r="70" spans="1:5" x14ac:dyDescent="0.2">
      <c r="A70" s="8" t="s">
        <v>73</v>
      </c>
      <c r="B70" t="s">
        <v>10</v>
      </c>
      <c r="C70" t="s">
        <v>10</v>
      </c>
      <c r="D70" t="s">
        <v>10</v>
      </c>
      <c r="E70" t="s">
        <v>10</v>
      </c>
    </row>
    <row r="71" spans="1:5" collapsed="1" x14ac:dyDescent="0.2">
      <c r="A71" s="9" t="s">
        <v>74</v>
      </c>
      <c r="B71" s="2">
        <v>-71597458</v>
      </c>
      <c r="C71" s="2">
        <v>-11729694</v>
      </c>
      <c r="D71" s="2">
        <v>-59867764</v>
      </c>
      <c r="E71" s="11">
        <v>5.1039000000000003</v>
      </c>
    </row>
    <row r="72" spans="1:5" hidden="1" outlineLevel="1" collapsed="1" x14ac:dyDescent="0.2">
      <c r="A72" s="10" t="s">
        <v>75</v>
      </c>
      <c r="B72" s="2">
        <v>-63958652</v>
      </c>
      <c r="C72" s="2">
        <v>0</v>
      </c>
      <c r="D72" s="2">
        <v>-63958652</v>
      </c>
      <c r="E72" s="11">
        <v>1</v>
      </c>
    </row>
    <row r="73" spans="1:5" hidden="1" outlineLevel="1" collapsed="1" x14ac:dyDescent="0.2">
      <c r="A73" s="10" t="s">
        <v>76</v>
      </c>
      <c r="B73" s="2">
        <v>-7638806</v>
      </c>
      <c r="C73" s="2">
        <v>-11729694</v>
      </c>
      <c r="D73" s="2">
        <v>4090888</v>
      </c>
      <c r="E73" s="11">
        <v>-0.3488</v>
      </c>
    </row>
    <row r="74" spans="1:5" collapsed="1" x14ac:dyDescent="0.2">
      <c r="A74" s="9" t="s">
        <v>77</v>
      </c>
      <c r="B74" s="2">
        <v>-919744.21</v>
      </c>
      <c r="C74" s="2">
        <v>-834133.33</v>
      </c>
      <c r="D74" s="2">
        <v>-85610.880000000005</v>
      </c>
      <c r="E74" s="11">
        <v>0.1026</v>
      </c>
    </row>
    <row r="75" spans="1:5" hidden="1" outlineLevel="1" collapsed="1" x14ac:dyDescent="0.2">
      <c r="A75" s="10" t="s">
        <v>78</v>
      </c>
      <c r="B75" s="2">
        <v>-834133.33</v>
      </c>
      <c r="C75" s="2">
        <v>-834133.33</v>
      </c>
      <c r="D75" s="2">
        <v>0</v>
      </c>
      <c r="E75" s="11">
        <v>0</v>
      </c>
    </row>
    <row r="76" spans="1:5" hidden="1" outlineLevel="1" collapsed="1" x14ac:dyDescent="0.2">
      <c r="A76" s="10" t="s">
        <v>79</v>
      </c>
      <c r="B76" s="2">
        <v>-85610.880000000005</v>
      </c>
      <c r="C76" s="2">
        <v>0</v>
      </c>
      <c r="D76" s="2">
        <v>-85610.880000000005</v>
      </c>
      <c r="E76" s="11">
        <v>1</v>
      </c>
    </row>
    <row r="77" spans="1:5" ht="15" x14ac:dyDescent="0.25">
      <c r="A77" s="8" t="s">
        <v>80</v>
      </c>
      <c r="B77" s="3">
        <v>-72517202.209999993</v>
      </c>
      <c r="C77" s="3">
        <v>-12563827.33</v>
      </c>
      <c r="D77" s="3">
        <v>-59953374.880000003</v>
      </c>
      <c r="E77" s="12">
        <v>4.7718999999999996</v>
      </c>
    </row>
    <row r="78" spans="1:5" ht="15" x14ac:dyDescent="0.25">
      <c r="A78" s="6" t="s">
        <v>81</v>
      </c>
      <c r="B78" s="3">
        <v>-329096603.43000001</v>
      </c>
      <c r="C78" s="3">
        <v>-295309975.17000002</v>
      </c>
      <c r="D78" s="3">
        <v>-33786628.259999998</v>
      </c>
      <c r="E78" s="12">
        <v>0.1144</v>
      </c>
    </row>
    <row r="79" spans="1:5" x14ac:dyDescent="0.2">
      <c r="A79" s="6" t="s">
        <v>82</v>
      </c>
      <c r="B79" t="s">
        <v>10</v>
      </c>
      <c r="C79" t="s">
        <v>10</v>
      </c>
      <c r="D79" t="s">
        <v>10</v>
      </c>
      <c r="E79" t="s">
        <v>10</v>
      </c>
    </row>
    <row r="80" spans="1:5" x14ac:dyDescent="0.2">
      <c r="A80" s="8" t="s">
        <v>82</v>
      </c>
      <c r="B80" t="s">
        <v>10</v>
      </c>
      <c r="C80" t="s">
        <v>10</v>
      </c>
      <c r="D80" t="s">
        <v>10</v>
      </c>
      <c r="E80" t="s">
        <v>10</v>
      </c>
    </row>
    <row r="81" spans="1:5" collapsed="1" x14ac:dyDescent="0.2">
      <c r="A81" s="9" t="s">
        <v>83</v>
      </c>
      <c r="B81" s="2">
        <v>-200000000</v>
      </c>
      <c r="C81" s="2">
        <v>-200000000</v>
      </c>
      <c r="D81" s="2">
        <v>0</v>
      </c>
      <c r="E81" s="11">
        <v>0</v>
      </c>
    </row>
    <row r="82" spans="1:5" hidden="1" outlineLevel="1" collapsed="1" x14ac:dyDescent="0.2">
      <c r="A82" s="10" t="s">
        <v>84</v>
      </c>
      <c r="B82" s="2">
        <v>-200000000</v>
      </c>
      <c r="C82" s="2">
        <v>-200000000</v>
      </c>
      <c r="D82" s="2">
        <v>0</v>
      </c>
      <c r="E82" s="11">
        <v>0</v>
      </c>
    </row>
    <row r="83" spans="1:5" collapsed="1" x14ac:dyDescent="0.2">
      <c r="A83" s="9" t="s">
        <v>85</v>
      </c>
      <c r="B83" s="2">
        <v>-9286832.2599999998</v>
      </c>
      <c r="C83" s="2">
        <v>-9286832.2599999998</v>
      </c>
      <c r="D83" s="2">
        <v>0</v>
      </c>
      <c r="E83" s="11">
        <v>0</v>
      </c>
    </row>
    <row r="84" spans="1:5" hidden="1" outlineLevel="1" collapsed="1" x14ac:dyDescent="0.2">
      <c r="A84" s="10" t="s">
        <v>86</v>
      </c>
      <c r="B84" s="2">
        <v>-9286832.2599999998</v>
      </c>
      <c r="C84" s="2">
        <v>-9286832.2599999998</v>
      </c>
      <c r="D84" s="2">
        <v>0</v>
      </c>
      <c r="E84" s="11">
        <v>0</v>
      </c>
    </row>
    <row r="85" spans="1:5" collapsed="1" x14ac:dyDescent="0.2">
      <c r="A85" s="9" t="s">
        <v>87</v>
      </c>
      <c r="B85" s="2">
        <v>-48252134.310000002</v>
      </c>
      <c r="C85" s="2">
        <v>0</v>
      </c>
      <c r="D85" s="2">
        <v>-48252134.310000002</v>
      </c>
      <c r="E85" s="11">
        <v>1</v>
      </c>
    </row>
    <row r="86" spans="1:5" hidden="1" outlineLevel="1" collapsed="1" x14ac:dyDescent="0.2">
      <c r="A86" s="10" t="s">
        <v>88</v>
      </c>
      <c r="B86" s="2">
        <v>-48252134.310000002</v>
      </c>
      <c r="C86" s="2">
        <v>0</v>
      </c>
      <c r="D86" s="2">
        <v>-48252134.310000002</v>
      </c>
      <c r="E86" s="11">
        <v>1</v>
      </c>
    </row>
    <row r="87" spans="1:5" ht="15" x14ac:dyDescent="0.25">
      <c r="A87" s="8" t="s">
        <v>89</v>
      </c>
      <c r="B87" s="3">
        <v>-257538966.56999999</v>
      </c>
      <c r="C87" s="3">
        <v>-209286832.25999999</v>
      </c>
      <c r="D87" s="3">
        <v>-48252134.310000002</v>
      </c>
      <c r="E87" s="12">
        <v>0.2306</v>
      </c>
    </row>
    <row r="88" spans="1:5" ht="15" x14ac:dyDescent="0.25">
      <c r="A88" s="6" t="s">
        <v>89</v>
      </c>
      <c r="B88" s="3">
        <v>-257538966.56999999</v>
      </c>
      <c r="C88" s="3">
        <v>-209286832.25999999</v>
      </c>
      <c r="D88" s="3">
        <v>-48252134.310000002</v>
      </c>
      <c r="E88" s="12">
        <v>0.2306</v>
      </c>
    </row>
    <row r="89" spans="1:5" ht="15" x14ac:dyDescent="0.25">
      <c r="A89" s="6" t="s">
        <v>90</v>
      </c>
      <c r="B89" s="3">
        <v>-586635570</v>
      </c>
      <c r="C89" s="3">
        <v>-504596807.43000001</v>
      </c>
      <c r="D89" s="3">
        <v>-82038762.569999993</v>
      </c>
      <c r="E89" s="12">
        <v>0.16259999999999999</v>
      </c>
    </row>
    <row r="91" spans="1:5" x14ac:dyDescent="0.2">
      <c r="A91" s="14"/>
      <c r="B91" s="2"/>
    </row>
    <row r="92" spans="1:5" x14ac:dyDescent="0.2">
      <c r="A92" s="14" t="s">
        <v>169</v>
      </c>
      <c r="B92" s="2">
        <f>-B38*70%</f>
        <v>185080492.086</v>
      </c>
      <c r="C92" s="2">
        <f>-C38*80%</f>
        <v>224487040.98400003</v>
      </c>
    </row>
    <row r="93" spans="1:5" x14ac:dyDescent="0.2">
      <c r="A93" s="14" t="s">
        <v>159</v>
      </c>
      <c r="B93" s="2">
        <f>+(B13+B18+B92)+(B39+B40+B42+B43+B44+B45+B46+B47)</f>
        <v>137844152.926</v>
      </c>
      <c r="C93" s="2">
        <f>+(C13+C18+C92)+(C39+C40+C42+C43+C44+C45+C46+C47)</f>
        <v>119777618.75400004</v>
      </c>
    </row>
    <row r="94" spans="1:5" x14ac:dyDescent="0.2">
      <c r="A94" s="14" t="s">
        <v>160</v>
      </c>
      <c r="B94" s="17">
        <f>+B93/'Estado Resultados AV'!B7</f>
        <v>0.28116345522541447</v>
      </c>
      <c r="C94" s="2">
        <f>+B93-C93</f>
        <v>18066534.171999961</v>
      </c>
    </row>
    <row r="95" spans="1:5" x14ac:dyDescent="0.2">
      <c r="A95" s="14" t="s">
        <v>164</v>
      </c>
      <c r="B95">
        <f>+'Estado Resultados AV'!B82/'Balance General AH'!B94</f>
        <v>0.35374934507506789</v>
      </c>
    </row>
    <row r="96" spans="1:5" x14ac:dyDescent="0.2">
      <c r="A96" s="14"/>
    </row>
    <row r="97" spans="1:3" x14ac:dyDescent="0.2">
      <c r="A97" s="14" t="s">
        <v>165</v>
      </c>
      <c r="B97" s="2">
        <f>+'Estado Resultados AV'!B80</f>
        <v>48762278.82</v>
      </c>
    </row>
    <row r="98" spans="1:3" x14ac:dyDescent="0.2">
      <c r="A98" s="14" t="s">
        <v>166</v>
      </c>
      <c r="B98" s="2">
        <f>-(B93-C93)</f>
        <v>-18066534.171999961</v>
      </c>
    </row>
    <row r="99" spans="1:3" x14ac:dyDescent="0.2">
      <c r="A99" s="14" t="s">
        <v>167</v>
      </c>
      <c r="B99" s="2">
        <f>+'Estado Resultados AV'!B63*35%</f>
        <v>16886256.386999998</v>
      </c>
    </row>
    <row r="100" spans="1:3" x14ac:dyDescent="0.2">
      <c r="A100" s="14" t="s">
        <v>168</v>
      </c>
      <c r="B100" s="2">
        <f>+B97+B98-B99</f>
        <v>13809488.261000041</v>
      </c>
    </row>
    <row r="102" spans="1:3" x14ac:dyDescent="0.2">
      <c r="A102" s="14" t="s">
        <v>170</v>
      </c>
      <c r="B102" s="19">
        <f>+'Estado Resultados AV'!B63*(1-35%)</f>
        <v>31360190.433000002</v>
      </c>
    </row>
    <row r="104" spans="1:3" x14ac:dyDescent="0.2">
      <c r="A104" s="14" t="s">
        <v>171</v>
      </c>
      <c r="B104" s="2">
        <f>+B105+B106</f>
        <v>595183286.61599994</v>
      </c>
      <c r="C104" s="2">
        <f>+C105+C106</f>
        <v>577116752.44400001</v>
      </c>
    </row>
    <row r="105" spans="1:3" x14ac:dyDescent="0.2">
      <c r="A105" s="14" t="s">
        <v>158</v>
      </c>
      <c r="B105" s="2">
        <f>+B93</f>
        <v>137844152.926</v>
      </c>
      <c r="C105" s="2">
        <f>+C93</f>
        <v>119777618.75400004</v>
      </c>
    </row>
    <row r="106" spans="1:3" x14ac:dyDescent="0.2">
      <c r="A106" s="14" t="s">
        <v>172</v>
      </c>
      <c r="B106" s="2">
        <f>+B27</f>
        <v>457339133.69</v>
      </c>
      <c r="C106" s="2">
        <f>+C27</f>
        <v>457339133.69</v>
      </c>
    </row>
    <row r="108" spans="1:3" x14ac:dyDescent="0.2">
      <c r="A108" s="14" t="s">
        <v>173</v>
      </c>
      <c r="B108" s="17">
        <f>+B102/B104</f>
        <v>5.2689971540200449E-2</v>
      </c>
    </row>
  </sheetData>
  <autoFilter ref="A6:E6" xr:uid="{00000000-0009-0000-0000-000000000000}"/>
  <mergeCells count="5">
    <mergeCell ref="A1:E1"/>
    <mergeCell ref="A2:E2"/>
    <mergeCell ref="A3:E3"/>
    <mergeCell ref="A4:E4"/>
    <mergeCell ref="A5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05EF9-C0FD-493C-8FB7-43AC779671C8}">
  <sheetPr>
    <outlinePr summaryBelow="0"/>
  </sheetPr>
  <dimension ref="A1:C82"/>
  <sheetViews>
    <sheetView workbookViewId="0">
      <selection activeCell="B38" sqref="B38"/>
    </sheetView>
  </sheetViews>
  <sheetFormatPr baseColWidth="10" defaultRowHeight="12.75" outlineLevelRow="1" x14ac:dyDescent="0.2"/>
  <cols>
    <col min="1" max="1" width="70" customWidth="1"/>
    <col min="2" max="3" width="25" customWidth="1"/>
  </cols>
  <sheetData>
    <row r="1" spans="1:3" ht="39" x14ac:dyDescent="0.2">
      <c r="A1" s="138" t="s">
        <v>157</v>
      </c>
      <c r="B1" s="139"/>
      <c r="C1" s="139"/>
    </row>
    <row r="2" spans="1:3" ht="18.75" x14ac:dyDescent="0.2">
      <c r="A2" s="140" t="s">
        <v>1</v>
      </c>
      <c r="B2" s="139"/>
      <c r="C2" s="139"/>
    </row>
    <row r="3" spans="1:3" ht="18.75" x14ac:dyDescent="0.2">
      <c r="A3" s="140" t="s">
        <v>2</v>
      </c>
      <c r="B3" s="139"/>
      <c r="C3" s="139"/>
    </row>
    <row r="4" spans="1:3" ht="18.75" x14ac:dyDescent="0.2">
      <c r="A4" s="140" t="s">
        <v>156</v>
      </c>
      <c r="B4" s="139"/>
      <c r="C4" s="139"/>
    </row>
    <row r="5" spans="1:3" ht="18.75" x14ac:dyDescent="0.2">
      <c r="A5" s="140" t="s">
        <v>4</v>
      </c>
      <c r="B5" s="139"/>
      <c r="C5" s="139"/>
    </row>
    <row r="6" spans="1:3" ht="15.75" x14ac:dyDescent="0.2">
      <c r="A6" s="13" t="s">
        <v>5</v>
      </c>
      <c r="B6" s="13" t="s">
        <v>6</v>
      </c>
      <c r="C6" s="13" t="s">
        <v>7</v>
      </c>
    </row>
    <row r="7" spans="1:3" collapsed="1" x14ac:dyDescent="0.2">
      <c r="A7" s="5" t="s">
        <v>155</v>
      </c>
      <c r="B7" s="2">
        <v>490263405.01999998</v>
      </c>
      <c r="C7" s="11">
        <v>1</v>
      </c>
    </row>
    <row r="8" spans="1:3" hidden="1" outlineLevel="1" collapsed="1" x14ac:dyDescent="0.2">
      <c r="A8" s="7" t="s">
        <v>154</v>
      </c>
      <c r="B8" s="2">
        <v>509176537.01999998</v>
      </c>
      <c r="C8" s="11">
        <v>1.0386</v>
      </c>
    </row>
    <row r="9" spans="1:3" hidden="1" outlineLevel="1" collapsed="1" x14ac:dyDescent="0.2">
      <c r="A9" s="7" t="s">
        <v>153</v>
      </c>
      <c r="B9" s="2">
        <v>-18913132</v>
      </c>
      <c r="C9" s="11">
        <v>-3.8600000000000002E-2</v>
      </c>
    </row>
    <row r="10" spans="1:3" ht="15" x14ac:dyDescent="0.25">
      <c r="A10" s="6" t="s">
        <v>152</v>
      </c>
      <c r="B10" s="3">
        <v>490263405.01999998</v>
      </c>
      <c r="C10" s="12">
        <v>1</v>
      </c>
    </row>
    <row r="11" spans="1:3" x14ac:dyDescent="0.2">
      <c r="A11" s="5" t="s">
        <v>10</v>
      </c>
      <c r="B11" s="2"/>
      <c r="C11" s="11"/>
    </row>
    <row r="12" spans="1:3" collapsed="1" x14ac:dyDescent="0.2">
      <c r="A12" s="5" t="s">
        <v>151</v>
      </c>
      <c r="B12" s="2">
        <v>-3179855.17</v>
      </c>
      <c r="C12" s="11">
        <v>-6.4999999999999997E-3</v>
      </c>
    </row>
    <row r="13" spans="1:3" hidden="1" outlineLevel="1" collapsed="1" x14ac:dyDescent="0.2">
      <c r="A13" s="7" t="s">
        <v>150</v>
      </c>
      <c r="B13" s="2">
        <v>33144.839999999997</v>
      </c>
      <c r="C13" s="11">
        <v>1E-4</v>
      </c>
    </row>
    <row r="14" spans="1:3" hidden="1" outlineLevel="1" collapsed="1" x14ac:dyDescent="0.2">
      <c r="A14" s="7" t="s">
        <v>149</v>
      </c>
      <c r="B14" s="2">
        <v>-3213000</v>
      </c>
      <c r="C14" s="11">
        <v>-6.6E-3</v>
      </c>
    </row>
    <row r="15" spans="1:3" hidden="1" outlineLevel="1" collapsed="1" x14ac:dyDescent="0.2">
      <c r="A15" s="7" t="s">
        <v>148</v>
      </c>
      <c r="B15" s="2">
        <v>-0.01</v>
      </c>
      <c r="C15" s="11">
        <v>0</v>
      </c>
    </row>
    <row r="16" spans="1:3" x14ac:dyDescent="0.2">
      <c r="A16" s="5" t="s">
        <v>147</v>
      </c>
      <c r="B16" s="2">
        <v>-319238369.14999998</v>
      </c>
      <c r="C16" s="11">
        <v>-0.6512</v>
      </c>
    </row>
    <row r="17" spans="1:3" outlineLevel="1" collapsed="1" x14ac:dyDescent="0.2">
      <c r="A17" s="7" t="s">
        <v>146</v>
      </c>
      <c r="B17" s="2">
        <v>-5620374.46</v>
      </c>
      <c r="C17" s="11">
        <v>-1.15E-2</v>
      </c>
    </row>
    <row r="18" spans="1:3" outlineLevel="1" collapsed="1" x14ac:dyDescent="0.2">
      <c r="A18" s="7" t="s">
        <v>145</v>
      </c>
      <c r="B18" s="2">
        <v>-25000</v>
      </c>
      <c r="C18" s="11">
        <v>-1E-4</v>
      </c>
    </row>
    <row r="19" spans="1:3" outlineLevel="1" collapsed="1" x14ac:dyDescent="0.2">
      <c r="A19" s="7" t="s">
        <v>144</v>
      </c>
      <c r="B19" s="2">
        <v>-280997450.44</v>
      </c>
      <c r="C19" s="11">
        <v>-0.57320000000000004</v>
      </c>
    </row>
    <row r="20" spans="1:3" outlineLevel="1" collapsed="1" x14ac:dyDescent="0.2">
      <c r="A20" s="7" t="s">
        <v>143</v>
      </c>
      <c r="B20" s="2">
        <v>-32595544.25</v>
      </c>
      <c r="C20" s="11">
        <v>-6.6500000000000004E-2</v>
      </c>
    </row>
    <row r="21" spans="1:3" collapsed="1" x14ac:dyDescent="0.2">
      <c r="A21" s="5" t="s">
        <v>142</v>
      </c>
      <c r="B21" s="2">
        <v>-39580914.479999997</v>
      </c>
      <c r="C21" s="11">
        <v>-8.0699999999999994E-2</v>
      </c>
    </row>
    <row r="22" spans="1:3" hidden="1" outlineLevel="1" collapsed="1" x14ac:dyDescent="0.2">
      <c r="A22" s="7" t="s">
        <v>141</v>
      </c>
      <c r="B22" s="2">
        <v>-26906666.670000002</v>
      </c>
      <c r="C22" s="11">
        <v>-5.4899999999999997E-2</v>
      </c>
    </row>
    <row r="23" spans="1:3" hidden="1" outlineLevel="1" collapsed="1" x14ac:dyDescent="0.2">
      <c r="A23" s="7" t="s">
        <v>140</v>
      </c>
      <c r="B23" s="2">
        <v>-567000</v>
      </c>
      <c r="C23" s="11">
        <v>-1.1999999999999999E-3</v>
      </c>
    </row>
    <row r="24" spans="1:3" hidden="1" outlineLevel="1" collapsed="1" x14ac:dyDescent="0.2">
      <c r="A24" s="7" t="s">
        <v>139</v>
      </c>
      <c r="B24" s="2">
        <v>-2308798.33</v>
      </c>
      <c r="C24" s="11">
        <v>-4.7000000000000002E-3</v>
      </c>
    </row>
    <row r="25" spans="1:3" hidden="1" outlineLevel="1" collapsed="1" x14ac:dyDescent="0.2">
      <c r="A25" s="7" t="s">
        <v>138</v>
      </c>
      <c r="B25" s="2">
        <v>-277055.81</v>
      </c>
      <c r="C25" s="11">
        <v>-5.9999999999999995E-4</v>
      </c>
    </row>
    <row r="26" spans="1:3" hidden="1" outlineLevel="1" collapsed="1" x14ac:dyDescent="0.2">
      <c r="A26" s="7" t="s">
        <v>137</v>
      </c>
      <c r="B26" s="2">
        <v>-2308798.33</v>
      </c>
      <c r="C26" s="11">
        <v>-4.7000000000000002E-3</v>
      </c>
    </row>
    <row r="27" spans="1:3" hidden="1" outlineLevel="1" collapsed="1" x14ac:dyDescent="0.2">
      <c r="A27" s="7" t="s">
        <v>136</v>
      </c>
      <c r="B27" s="2">
        <v>-1122008</v>
      </c>
      <c r="C27" s="11">
        <v>-2.3E-3</v>
      </c>
    </row>
    <row r="28" spans="1:3" hidden="1" outlineLevel="1" collapsed="1" x14ac:dyDescent="0.2">
      <c r="A28" s="7" t="s">
        <v>135</v>
      </c>
      <c r="B28" s="2">
        <v>-994975</v>
      </c>
      <c r="C28" s="11">
        <v>-2E-3</v>
      </c>
    </row>
    <row r="29" spans="1:3" hidden="1" outlineLevel="1" collapsed="1" x14ac:dyDescent="0.2">
      <c r="A29" s="7" t="s">
        <v>134</v>
      </c>
      <c r="B29" s="2">
        <v>-450600</v>
      </c>
      <c r="C29" s="11">
        <v>-8.9999999999999998E-4</v>
      </c>
    </row>
    <row r="30" spans="1:3" hidden="1" outlineLevel="1" collapsed="1" x14ac:dyDescent="0.2">
      <c r="A30" s="7" t="s">
        <v>133</v>
      </c>
      <c r="B30" s="2">
        <v>-3156066.67</v>
      </c>
      <c r="C30" s="11">
        <v>-6.4000000000000003E-3</v>
      </c>
    </row>
    <row r="31" spans="1:3" hidden="1" outlineLevel="1" collapsed="1" x14ac:dyDescent="0.2">
      <c r="A31" s="7" t="s">
        <v>132</v>
      </c>
      <c r="B31" s="2">
        <v>-1076366.67</v>
      </c>
      <c r="C31" s="11">
        <v>-2.2000000000000001E-3</v>
      </c>
    </row>
    <row r="32" spans="1:3" hidden="1" outlineLevel="1" collapsed="1" x14ac:dyDescent="0.2">
      <c r="A32" s="7" t="s">
        <v>131</v>
      </c>
      <c r="B32" s="2">
        <v>-159000</v>
      </c>
      <c r="C32" s="11">
        <v>-2.9999999999999997E-4</v>
      </c>
    </row>
    <row r="33" spans="1:3" hidden="1" outlineLevel="1" collapsed="1" x14ac:dyDescent="0.2">
      <c r="A33" s="7" t="s">
        <v>130</v>
      </c>
      <c r="B33" s="2">
        <v>-106000</v>
      </c>
      <c r="C33" s="11">
        <v>-2.0000000000000001E-4</v>
      </c>
    </row>
    <row r="34" spans="1:3" hidden="1" outlineLevel="1" collapsed="1" x14ac:dyDescent="0.2">
      <c r="A34" s="7" t="s">
        <v>129</v>
      </c>
      <c r="B34" s="2">
        <v>-147579</v>
      </c>
      <c r="C34" s="11">
        <v>-2.9999999999999997E-4</v>
      </c>
    </row>
    <row r="35" spans="1:3" collapsed="1" x14ac:dyDescent="0.2">
      <c r="A35" s="5" t="s">
        <v>128</v>
      </c>
      <c r="B35" s="2">
        <v>-80017819.400000006</v>
      </c>
      <c r="C35" s="11">
        <v>-0.16320000000000001</v>
      </c>
    </row>
    <row r="36" spans="1:3" hidden="1" outlineLevel="1" collapsed="1" x14ac:dyDescent="0.2">
      <c r="A36" s="7" t="s">
        <v>127</v>
      </c>
      <c r="B36" s="2">
        <v>-150000</v>
      </c>
      <c r="C36" s="11">
        <v>-2.9999999999999997E-4</v>
      </c>
    </row>
    <row r="37" spans="1:3" hidden="1" outlineLevel="1" collapsed="1" x14ac:dyDescent="0.2">
      <c r="A37" s="7" t="s">
        <v>126</v>
      </c>
      <c r="B37" s="2">
        <v>-4465846.6100000003</v>
      </c>
      <c r="C37" s="11">
        <v>-9.1000000000000004E-3</v>
      </c>
    </row>
    <row r="38" spans="1:3" hidden="1" outlineLevel="1" collapsed="1" x14ac:dyDescent="0.2">
      <c r="A38" s="7" t="s">
        <v>125</v>
      </c>
      <c r="B38" s="2">
        <v>-2707991.48</v>
      </c>
      <c r="C38" s="11">
        <v>-5.4999999999999997E-3</v>
      </c>
    </row>
    <row r="39" spans="1:3" hidden="1" outlineLevel="1" collapsed="1" x14ac:dyDescent="0.2">
      <c r="A39" s="7" t="s">
        <v>124</v>
      </c>
      <c r="B39" s="2">
        <v>-2850078.32</v>
      </c>
      <c r="C39" s="11">
        <v>-5.7999999999999996E-3</v>
      </c>
    </row>
    <row r="40" spans="1:3" hidden="1" outlineLevel="1" collapsed="1" x14ac:dyDescent="0.2">
      <c r="A40" s="7" t="s">
        <v>123</v>
      </c>
      <c r="B40" s="2">
        <v>-1024228</v>
      </c>
      <c r="C40" s="11">
        <v>-2.0999999999999999E-3</v>
      </c>
    </row>
    <row r="41" spans="1:3" hidden="1" outlineLevel="1" collapsed="1" x14ac:dyDescent="0.2">
      <c r="A41" s="7" t="s">
        <v>122</v>
      </c>
      <c r="B41" s="2">
        <v>-100000</v>
      </c>
      <c r="C41" s="11">
        <v>-2.0000000000000001E-4</v>
      </c>
    </row>
    <row r="42" spans="1:3" hidden="1" outlineLevel="1" collapsed="1" x14ac:dyDescent="0.2">
      <c r="A42" s="7" t="s">
        <v>121</v>
      </c>
      <c r="B42" s="2">
        <v>-8348241</v>
      </c>
      <c r="C42" s="11">
        <v>-1.7000000000000001E-2</v>
      </c>
    </row>
    <row r="43" spans="1:3" hidden="1" outlineLevel="1" collapsed="1" x14ac:dyDescent="0.2">
      <c r="A43" s="7" t="s">
        <v>120</v>
      </c>
      <c r="B43" s="2">
        <v>-57695</v>
      </c>
      <c r="C43" s="11">
        <v>-1E-4</v>
      </c>
    </row>
    <row r="44" spans="1:3" hidden="1" outlineLevel="1" collapsed="1" x14ac:dyDescent="0.2">
      <c r="A44" s="7" t="s">
        <v>119</v>
      </c>
      <c r="B44" s="2">
        <v>-1864756</v>
      </c>
      <c r="C44" s="11">
        <v>-3.8E-3</v>
      </c>
    </row>
    <row r="45" spans="1:3" hidden="1" outlineLevel="1" collapsed="1" x14ac:dyDescent="0.2">
      <c r="A45" s="7" t="s">
        <v>118</v>
      </c>
      <c r="B45" s="2">
        <v>-49586565.920000002</v>
      </c>
      <c r="C45" s="11">
        <v>-0.1011</v>
      </c>
    </row>
    <row r="46" spans="1:3" hidden="1" outlineLevel="1" collapsed="1" x14ac:dyDescent="0.2">
      <c r="A46" s="7" t="s">
        <v>117</v>
      </c>
      <c r="B46" s="2">
        <v>-55000</v>
      </c>
      <c r="C46" s="11">
        <v>-1E-4</v>
      </c>
    </row>
    <row r="47" spans="1:3" hidden="1" outlineLevel="1" collapsed="1" x14ac:dyDescent="0.2">
      <c r="A47" s="7" t="s">
        <v>116</v>
      </c>
      <c r="B47" s="2">
        <v>-184800</v>
      </c>
      <c r="C47" s="11">
        <v>-4.0000000000000002E-4</v>
      </c>
    </row>
    <row r="48" spans="1:3" hidden="1" outlineLevel="1" collapsed="1" x14ac:dyDescent="0.2">
      <c r="A48" s="7" t="s">
        <v>115</v>
      </c>
      <c r="B48" s="2">
        <v>-634781.81999999995</v>
      </c>
      <c r="C48" s="11">
        <v>-1.2999999999999999E-3</v>
      </c>
    </row>
    <row r="49" spans="1:3" hidden="1" outlineLevel="1" collapsed="1" x14ac:dyDescent="0.2">
      <c r="A49" s="7" t="s">
        <v>114</v>
      </c>
      <c r="B49" s="2">
        <v>-115379.02</v>
      </c>
      <c r="C49" s="11">
        <v>-2.0000000000000001E-4</v>
      </c>
    </row>
    <row r="50" spans="1:3" hidden="1" outlineLevel="1" collapsed="1" x14ac:dyDescent="0.2">
      <c r="A50" s="7" t="s">
        <v>113</v>
      </c>
      <c r="B50" s="2">
        <v>-369997</v>
      </c>
      <c r="C50" s="11">
        <v>-8.0000000000000004E-4</v>
      </c>
    </row>
    <row r="51" spans="1:3" hidden="1" outlineLevel="1" collapsed="1" x14ac:dyDescent="0.2">
      <c r="A51" s="7" t="s">
        <v>112</v>
      </c>
      <c r="B51" s="2">
        <v>-19748</v>
      </c>
      <c r="C51" s="11">
        <v>0</v>
      </c>
    </row>
    <row r="52" spans="1:3" hidden="1" outlineLevel="1" collapsed="1" x14ac:dyDescent="0.2">
      <c r="A52" s="7" t="s">
        <v>111</v>
      </c>
      <c r="B52" s="2">
        <v>-3960677.67</v>
      </c>
      <c r="C52" s="11">
        <v>-8.0999999999999996E-3</v>
      </c>
    </row>
    <row r="53" spans="1:3" hidden="1" outlineLevel="1" collapsed="1" x14ac:dyDescent="0.2">
      <c r="A53" s="7" t="s">
        <v>110</v>
      </c>
      <c r="B53" s="2">
        <v>-300499.20000000001</v>
      </c>
      <c r="C53" s="11">
        <v>-5.9999999999999995E-4</v>
      </c>
    </row>
    <row r="54" spans="1:3" hidden="1" outlineLevel="1" collapsed="1" x14ac:dyDescent="0.2">
      <c r="A54" s="7" t="s">
        <v>109</v>
      </c>
      <c r="B54" s="2">
        <v>-1681255.36</v>
      </c>
      <c r="C54" s="11">
        <v>-3.3999999999999998E-3</v>
      </c>
    </row>
    <row r="55" spans="1:3" hidden="1" outlineLevel="1" collapsed="1" x14ac:dyDescent="0.2">
      <c r="A55" s="7" t="s">
        <v>108</v>
      </c>
      <c r="B55" s="2">
        <v>-1083333.33</v>
      </c>
      <c r="C55" s="11">
        <v>-2.2000000000000001E-3</v>
      </c>
    </row>
    <row r="56" spans="1:3" hidden="1" outlineLevel="1" collapsed="1" x14ac:dyDescent="0.2">
      <c r="A56" s="7" t="s">
        <v>107</v>
      </c>
      <c r="B56" s="2">
        <v>-90241.67</v>
      </c>
      <c r="C56" s="11">
        <v>-2.0000000000000001E-4</v>
      </c>
    </row>
    <row r="57" spans="1:3" hidden="1" outlineLevel="1" collapsed="1" x14ac:dyDescent="0.2">
      <c r="A57" s="7" t="s">
        <v>106</v>
      </c>
      <c r="B57" s="2">
        <v>-10829</v>
      </c>
      <c r="C57" s="11">
        <v>0</v>
      </c>
    </row>
    <row r="58" spans="1:3" hidden="1" outlineLevel="1" collapsed="1" x14ac:dyDescent="0.2">
      <c r="A58" s="7" t="s">
        <v>105</v>
      </c>
      <c r="B58" s="2">
        <v>-90241.67</v>
      </c>
      <c r="C58" s="11">
        <v>-2.0000000000000001E-4</v>
      </c>
    </row>
    <row r="59" spans="1:3" hidden="1" outlineLevel="1" collapsed="1" x14ac:dyDescent="0.2">
      <c r="A59" s="7" t="s">
        <v>104</v>
      </c>
      <c r="B59" s="2">
        <v>-45175</v>
      </c>
      <c r="C59" s="11">
        <v>-1E-4</v>
      </c>
    </row>
    <row r="60" spans="1:3" hidden="1" outlineLevel="1" collapsed="1" x14ac:dyDescent="0.2">
      <c r="A60" s="7" t="s">
        <v>103</v>
      </c>
      <c r="B60" s="2">
        <v>-47125</v>
      </c>
      <c r="C60" s="11">
        <v>-1E-4</v>
      </c>
    </row>
    <row r="61" spans="1:3" hidden="1" outlineLevel="1" collapsed="1" x14ac:dyDescent="0.2">
      <c r="A61" s="7" t="s">
        <v>102</v>
      </c>
      <c r="B61" s="2">
        <v>-130000</v>
      </c>
      <c r="C61" s="11">
        <v>-2.9999999999999997E-4</v>
      </c>
    </row>
    <row r="62" spans="1:3" hidden="1" outlineLevel="1" collapsed="1" x14ac:dyDescent="0.2">
      <c r="A62" s="7" t="s">
        <v>101</v>
      </c>
      <c r="B62" s="2">
        <v>-43333.33</v>
      </c>
      <c r="C62" s="11">
        <v>-1E-4</v>
      </c>
    </row>
    <row r="63" spans="1:3" ht="15" x14ac:dyDescent="0.25">
      <c r="A63" s="6" t="s">
        <v>100</v>
      </c>
      <c r="B63" s="3">
        <v>48246446.82</v>
      </c>
      <c r="C63" s="12">
        <v>9.8400000000000001E-2</v>
      </c>
    </row>
    <row r="64" spans="1:3" x14ac:dyDescent="0.2">
      <c r="A64" s="5" t="s">
        <v>10</v>
      </c>
      <c r="B64" s="2"/>
      <c r="C64" s="11"/>
    </row>
    <row r="65" spans="1:3" collapsed="1" x14ac:dyDescent="0.2">
      <c r="A65" s="5" t="s">
        <v>99</v>
      </c>
      <c r="B65" s="2">
        <v>5687.49</v>
      </c>
      <c r="C65" s="11">
        <v>0</v>
      </c>
    </row>
    <row r="66" spans="1:3" hidden="1" outlineLevel="1" collapsed="1" x14ac:dyDescent="0.2">
      <c r="A66" s="7" t="s">
        <v>98</v>
      </c>
      <c r="B66" s="2">
        <v>5687.49</v>
      </c>
      <c r="C66" s="11">
        <v>0</v>
      </c>
    </row>
    <row r="67" spans="1:3" ht="15" x14ac:dyDescent="0.25">
      <c r="A67" s="6" t="s">
        <v>97</v>
      </c>
      <c r="B67" s="3">
        <v>48252134.310000002</v>
      </c>
      <c r="C67" s="12">
        <v>9.8400000000000001E-2</v>
      </c>
    </row>
    <row r="68" spans="1:3" x14ac:dyDescent="0.2">
      <c r="A68" s="5" t="s">
        <v>10</v>
      </c>
      <c r="B68" s="2"/>
      <c r="C68" s="11"/>
    </row>
    <row r="69" spans="1:3" collapsed="1" x14ac:dyDescent="0.2">
      <c r="A69" s="5" t="s">
        <v>96</v>
      </c>
      <c r="B69" s="2">
        <v>0</v>
      </c>
      <c r="C69" s="11">
        <v>0</v>
      </c>
    </row>
    <row r="70" spans="1:3" hidden="1" outlineLevel="1" collapsed="1" x14ac:dyDescent="0.2">
      <c r="A70" s="7" t="s">
        <v>95</v>
      </c>
      <c r="B70" s="2">
        <v>0</v>
      </c>
      <c r="C70" s="11">
        <v>0</v>
      </c>
    </row>
    <row r="71" spans="1:3" ht="15" x14ac:dyDescent="0.25">
      <c r="A71" s="6" t="s">
        <v>94</v>
      </c>
      <c r="B71" s="3">
        <v>48252134.310000002</v>
      </c>
      <c r="C71" s="12">
        <v>9.8400000000000001E-2</v>
      </c>
    </row>
    <row r="72" spans="1:3" x14ac:dyDescent="0.2">
      <c r="A72" s="5" t="s">
        <v>10</v>
      </c>
      <c r="B72" s="2"/>
      <c r="C72" s="11"/>
    </row>
    <row r="73" spans="1:3" ht="15" x14ac:dyDescent="0.25">
      <c r="A73" s="6" t="s">
        <v>93</v>
      </c>
      <c r="B73" s="3">
        <v>48252134.310000002</v>
      </c>
      <c r="C73" s="12">
        <v>9.8400000000000001E-2</v>
      </c>
    </row>
    <row r="74" spans="1:3" x14ac:dyDescent="0.2">
      <c r="A74" s="5" t="s">
        <v>10</v>
      </c>
      <c r="B74" s="2"/>
      <c r="C74" s="11"/>
    </row>
    <row r="75" spans="1:3" ht="15" x14ac:dyDescent="0.25">
      <c r="A75" s="6" t="s">
        <v>206</v>
      </c>
      <c r="B75" s="3">
        <f>+B73*35%</f>
        <v>16888247.008499999</v>
      </c>
    </row>
    <row r="76" spans="1:3" ht="15" x14ac:dyDescent="0.25">
      <c r="A76" s="6" t="s">
        <v>205</v>
      </c>
      <c r="B76" s="3">
        <f>+B73-B75</f>
        <v>31363887.301500004</v>
      </c>
    </row>
    <row r="78" spans="1:3" x14ac:dyDescent="0.2">
      <c r="A78" s="6" t="s">
        <v>162</v>
      </c>
      <c r="B78" s="2">
        <f>-'Balance General AH'!B30</f>
        <v>515832</v>
      </c>
    </row>
    <row r="79" spans="1:3" x14ac:dyDescent="0.2">
      <c r="A79" s="18"/>
    </row>
    <row r="80" spans="1:3" x14ac:dyDescent="0.2">
      <c r="A80" t="s">
        <v>163</v>
      </c>
      <c r="B80" s="2">
        <f>+B78+B63</f>
        <v>48762278.82</v>
      </c>
    </row>
    <row r="82" spans="1:2" x14ac:dyDescent="0.2">
      <c r="A82" t="s">
        <v>161</v>
      </c>
      <c r="B82" s="17">
        <f>+B80/B10</f>
        <v>9.9461388145033539E-2</v>
      </c>
    </row>
  </sheetData>
  <autoFilter ref="A6:C6" xr:uid="{00000000-0009-0000-0000-000000000000}"/>
  <mergeCells count="5">
    <mergeCell ref="A1:C1"/>
    <mergeCell ref="A2:C2"/>
    <mergeCell ref="A3:C3"/>
    <mergeCell ref="A4:C4"/>
    <mergeCell ref="A5:C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53A62-580A-4C3D-99B7-4B3A1199DBB4}">
  <dimension ref="A1:E41"/>
  <sheetViews>
    <sheetView workbookViewId="0">
      <selection activeCell="G28" sqref="G28"/>
    </sheetView>
  </sheetViews>
  <sheetFormatPr baseColWidth="10" defaultRowHeight="12.75" x14ac:dyDescent="0.2"/>
  <cols>
    <col min="1" max="1" width="27.5703125" bestFit="1" customWidth="1"/>
    <col min="5" max="5" width="13.28515625" bestFit="1" customWidth="1"/>
  </cols>
  <sheetData>
    <row r="1" spans="1:5" ht="13.5" thickBot="1" x14ac:dyDescent="0.25">
      <c r="A1" s="20" t="s">
        <v>174</v>
      </c>
      <c r="B1" s="21"/>
      <c r="C1" s="22">
        <v>2024</v>
      </c>
    </row>
    <row r="2" spans="1:5" x14ac:dyDescent="0.2">
      <c r="A2" s="21"/>
      <c r="B2" s="21"/>
      <c r="C2" s="21"/>
    </row>
    <row r="3" spans="1:5" x14ac:dyDescent="0.2">
      <c r="A3" s="23" t="s">
        <v>175</v>
      </c>
      <c r="B3" s="21"/>
      <c r="C3" s="21"/>
    </row>
    <row r="4" spans="1:5" x14ac:dyDescent="0.2">
      <c r="A4" s="21" t="s">
        <v>176</v>
      </c>
      <c r="B4" s="21"/>
      <c r="C4" s="24">
        <f>+'Balance General AV'!B25/-'Balance General AV'!B69</f>
        <v>0.47575308598266752</v>
      </c>
    </row>
    <row r="5" spans="1:5" x14ac:dyDescent="0.2">
      <c r="A5" s="21" t="s">
        <v>177</v>
      </c>
      <c r="B5" s="21"/>
      <c r="C5" s="24">
        <f>+('Balance General AV'!B25-'Balance General AV'!B18)/(-'Balance General AV'!B69-'Balance General AH'!B92)</f>
        <v>1.623155420630225</v>
      </c>
      <c r="E5" s="2"/>
    </row>
    <row r="6" spans="1:5" x14ac:dyDescent="0.2">
      <c r="A6" s="21"/>
      <c r="B6" s="21"/>
      <c r="C6" s="21"/>
    </row>
    <row r="7" spans="1:5" x14ac:dyDescent="0.2">
      <c r="A7" s="23" t="s">
        <v>178</v>
      </c>
      <c r="B7" s="21"/>
      <c r="C7" s="21"/>
    </row>
    <row r="8" spans="1:5" x14ac:dyDescent="0.2">
      <c r="A8" s="21" t="s">
        <v>179</v>
      </c>
      <c r="B8" s="21"/>
      <c r="C8" s="25">
        <f>+'Estado Resultados AV'!B10/(('Balance General AV'!B13+'Balance General AV'!D13)/2)</f>
        <v>16.876987186420127</v>
      </c>
    </row>
    <row r="9" spans="1:5" x14ac:dyDescent="0.2">
      <c r="A9" s="21" t="s">
        <v>180</v>
      </c>
      <c r="B9" s="21"/>
      <c r="C9" s="25">
        <f>360/C8</f>
        <v>21.330821432967007</v>
      </c>
    </row>
    <row r="10" spans="1:5" x14ac:dyDescent="0.2">
      <c r="A10" s="21" t="s">
        <v>181</v>
      </c>
      <c r="B10" s="21"/>
      <c r="C10" s="25">
        <v>0</v>
      </c>
    </row>
    <row r="11" spans="1:5" x14ac:dyDescent="0.2">
      <c r="A11" s="21" t="s">
        <v>182</v>
      </c>
      <c r="B11" s="21"/>
      <c r="C11" s="25">
        <v>0</v>
      </c>
    </row>
    <row r="12" spans="1:5" x14ac:dyDescent="0.2">
      <c r="A12" s="21" t="s">
        <v>183</v>
      </c>
      <c r="B12" s="21"/>
      <c r="C12" s="25">
        <f>+'Estado Resultados AV'!B16/(('Balance General AV'!B38+'Balance General AV'!D38+'Balance General AH'!B92+'Balance General AH'!C92)/2)</f>
        <v>4.7140242638674854</v>
      </c>
      <c r="D12">
        <v>1.17</v>
      </c>
    </row>
    <row r="13" spans="1:5" x14ac:dyDescent="0.2">
      <c r="A13" s="21" t="s">
        <v>184</v>
      </c>
      <c r="B13" s="21"/>
      <c r="C13" s="25">
        <f>360/C12</f>
        <v>76.367871663148463</v>
      </c>
    </row>
    <row r="14" spans="1:5" x14ac:dyDescent="0.2">
      <c r="A14" s="21" t="s">
        <v>185</v>
      </c>
      <c r="B14" s="21"/>
      <c r="C14" s="25" t="str">
        <f>+IF('Balance General AV'!B25+'Balance General AV'!B69&lt;0,"N/A",'Estado Resultados AV'!B10/(('Balance General AV'!B25/-'Balance General AV'!B69)))</f>
        <v>N/A</v>
      </c>
    </row>
    <row r="15" spans="1:5" x14ac:dyDescent="0.2">
      <c r="A15" s="21" t="s">
        <v>186</v>
      </c>
      <c r="B15" s="21"/>
      <c r="C15" s="25" t="str">
        <f>+IF('Balance General AV'!B25+'Balance General AV'!B69&lt;0,"N/A",360/C14)</f>
        <v>N/A</v>
      </c>
    </row>
    <row r="16" spans="1:5" x14ac:dyDescent="0.2">
      <c r="A16" s="21"/>
      <c r="B16" s="21"/>
      <c r="C16" s="25"/>
    </row>
    <row r="17" spans="1:3" x14ac:dyDescent="0.2">
      <c r="A17" s="21" t="s">
        <v>187</v>
      </c>
      <c r="B17" s="21"/>
      <c r="C17" s="25">
        <f>+'Estado Resultados AV'!B10/(('Balance General AV'!B27+'Balance General AV'!D27)/2)</f>
        <v>1.0719909338707874</v>
      </c>
    </row>
    <row r="18" spans="1:3" x14ac:dyDescent="0.2">
      <c r="A18" s="26" t="s">
        <v>188</v>
      </c>
      <c r="B18" s="21"/>
      <c r="C18" s="25">
        <f>+'Estado Resultados AV'!B10/(('Balance General AV'!B35+'Balance General AV'!D35)/2)</f>
        <v>0.89854996087017991</v>
      </c>
    </row>
    <row r="19" spans="1:3" x14ac:dyDescent="0.2">
      <c r="A19" s="21"/>
      <c r="B19" s="21"/>
      <c r="C19" s="21"/>
    </row>
    <row r="20" spans="1:3" x14ac:dyDescent="0.2">
      <c r="A20" s="23" t="s">
        <v>189</v>
      </c>
      <c r="B20" s="21"/>
      <c r="C20" s="21"/>
    </row>
    <row r="21" spans="1:3" x14ac:dyDescent="0.2">
      <c r="A21" s="21" t="s">
        <v>190</v>
      </c>
      <c r="B21" s="21"/>
      <c r="C21" s="27">
        <f>+'Balance General AV'!B78/'Balance General AV'!B89</f>
        <v>0.56098985513271893</v>
      </c>
    </row>
    <row r="22" spans="1:3" ht="25.5" x14ac:dyDescent="0.2">
      <c r="A22" s="26" t="s">
        <v>191</v>
      </c>
      <c r="B22" s="21"/>
      <c r="C22" s="27">
        <f>+'Balance General AV'!B69/'Balance General AV'!B78</f>
        <v>0.7796476734971084</v>
      </c>
    </row>
    <row r="23" spans="1:3" x14ac:dyDescent="0.2">
      <c r="A23" s="21" t="s">
        <v>192</v>
      </c>
      <c r="B23" s="21"/>
      <c r="C23" s="25"/>
    </row>
    <row r="24" spans="1:3" x14ac:dyDescent="0.2">
      <c r="A24" s="21" t="s">
        <v>193</v>
      </c>
      <c r="B24" s="21"/>
      <c r="C24" s="25">
        <f>+'Balance General AV'!B69/'Balance General AV'!B87</f>
        <v>0.99627409644924869</v>
      </c>
    </row>
    <row r="25" spans="1:3" x14ac:dyDescent="0.2">
      <c r="A25" s="21" t="s">
        <v>194</v>
      </c>
      <c r="B25" s="21"/>
      <c r="C25" s="25">
        <f>+'Balance General AV'!B35/-'Balance General AV'!B87</f>
        <v>2.2778516890590628</v>
      </c>
    </row>
    <row r="26" spans="1:3" x14ac:dyDescent="0.2">
      <c r="A26" s="21" t="s">
        <v>195</v>
      </c>
      <c r="B26" s="21"/>
      <c r="C26" s="25">
        <f>+'Balance General AV'!B78/'Balance General AV'!B88</f>
        <v>1.2778516890590628</v>
      </c>
    </row>
    <row r="27" spans="1:3" x14ac:dyDescent="0.2">
      <c r="A27" s="21" t="s">
        <v>196</v>
      </c>
      <c r="B27" s="21"/>
      <c r="C27" s="28">
        <f>+'Balance General AV'!B71/'Balance General AV'!B88</f>
        <v>0.27800631086457189</v>
      </c>
    </row>
    <row r="28" spans="1:3" x14ac:dyDescent="0.2">
      <c r="A28" s="21"/>
      <c r="B28" s="21"/>
      <c r="C28" s="21"/>
    </row>
    <row r="29" spans="1:3" x14ac:dyDescent="0.2">
      <c r="A29" s="23" t="s">
        <v>197</v>
      </c>
      <c r="B29" s="21"/>
      <c r="C29" s="21"/>
    </row>
    <row r="30" spans="1:3" x14ac:dyDescent="0.2">
      <c r="A30" s="21" t="s">
        <v>198</v>
      </c>
      <c r="B30" s="21"/>
      <c r="C30" s="31">
        <f>+'Estado Resultados AV'!B10/'Estado Resultados AV'!B7</f>
        <v>1</v>
      </c>
    </row>
    <row r="31" spans="1:3" x14ac:dyDescent="0.2">
      <c r="A31" s="21" t="s">
        <v>199</v>
      </c>
      <c r="B31" s="21"/>
      <c r="C31" s="27">
        <f>+'Estado Resultados AV'!B63/'Estado Resultados AV'!B10</f>
        <v>9.8409235374261342E-2</v>
      </c>
    </row>
    <row r="32" spans="1:3" x14ac:dyDescent="0.2">
      <c r="A32" s="21" t="s">
        <v>200</v>
      </c>
      <c r="B32" s="21"/>
      <c r="C32" s="27">
        <f>+'Estado Resultados AV'!B76/'Estado Resultados AV'!B10</f>
        <v>6.3973543569340111E-2</v>
      </c>
    </row>
    <row r="33" spans="1:3" x14ac:dyDescent="0.2">
      <c r="A33" s="21" t="s">
        <v>201</v>
      </c>
      <c r="B33" s="21"/>
      <c r="C33" s="27">
        <f>+'Estado Resultados AV'!B76/(('Balance General AV'!B35+'Balance General AV'!D35)/2)</f>
        <v>5.74834250709573E-2</v>
      </c>
    </row>
    <row r="34" spans="1:3" x14ac:dyDescent="0.2">
      <c r="A34" s="21" t="s">
        <v>202</v>
      </c>
      <c r="B34" s="21"/>
      <c r="C34" s="27">
        <f>+'Estado Resultados AV'!B76/(((-'Balance General AV'!B88)+(-'Balance General AV'!D88))/2)</f>
        <v>0.1343708397441056</v>
      </c>
    </row>
    <row r="36" spans="1:3" x14ac:dyDescent="0.2">
      <c r="A36" s="29" t="s">
        <v>203</v>
      </c>
    </row>
    <row r="37" spans="1:3" x14ac:dyDescent="0.2">
      <c r="A37" s="21" t="s">
        <v>204</v>
      </c>
      <c r="C37" s="30">
        <f>+C18</f>
        <v>0.89854996087017991</v>
      </c>
    </row>
    <row r="38" spans="1:3" x14ac:dyDescent="0.2">
      <c r="A38" s="21" t="s">
        <v>194</v>
      </c>
      <c r="C38" s="30">
        <f>+C25</f>
        <v>2.2778516890590628</v>
      </c>
    </row>
    <row r="39" spans="1:3" x14ac:dyDescent="0.2">
      <c r="A39" s="21" t="s">
        <v>200</v>
      </c>
      <c r="C39" s="11">
        <f>+C32</f>
        <v>6.3973543569340111E-2</v>
      </c>
    </row>
    <row r="41" spans="1:3" x14ac:dyDescent="0.2">
      <c r="A41" s="21" t="s">
        <v>202</v>
      </c>
      <c r="C41" s="17">
        <f>+C39*C38*C37</f>
        <v>0.13093871689078018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EEDDB-ABFC-42E5-8818-063D6E2F0A4E}">
  <dimension ref="A1:H170"/>
  <sheetViews>
    <sheetView showGridLines="0" workbookViewId="0">
      <selection activeCell="E116" sqref="E116"/>
    </sheetView>
  </sheetViews>
  <sheetFormatPr baseColWidth="10" defaultRowHeight="12.75" x14ac:dyDescent="0.2"/>
  <cols>
    <col min="1" max="1" width="36.7109375" bestFit="1" customWidth="1"/>
    <col min="2" max="2" width="15.5703125" bestFit="1" customWidth="1"/>
    <col min="3" max="3" width="14" bestFit="1" customWidth="1"/>
    <col min="4" max="4" width="17.85546875" bestFit="1" customWidth="1"/>
    <col min="5" max="8" width="14.7109375" bestFit="1" customWidth="1"/>
  </cols>
  <sheetData>
    <row r="1" spans="1:3" x14ac:dyDescent="0.2">
      <c r="A1" s="32" t="s">
        <v>219</v>
      </c>
    </row>
    <row r="4" spans="1:3" x14ac:dyDescent="0.2">
      <c r="A4" s="81" t="s">
        <v>323</v>
      </c>
      <c r="B4" s="81" t="s">
        <v>324</v>
      </c>
      <c r="C4" s="81"/>
    </row>
    <row r="5" spans="1:3" x14ac:dyDescent="0.2">
      <c r="A5" s="75" t="s">
        <v>220</v>
      </c>
      <c r="B5" s="75" t="s">
        <v>207</v>
      </c>
      <c r="C5" s="76"/>
    </row>
    <row r="6" spans="1:3" x14ac:dyDescent="0.2">
      <c r="A6" s="75" t="s">
        <v>229</v>
      </c>
      <c r="B6" s="77">
        <v>130000000</v>
      </c>
      <c r="C6" s="76"/>
    </row>
    <row r="7" spans="1:3" x14ac:dyDescent="0.2">
      <c r="A7" s="75" t="s">
        <v>230</v>
      </c>
      <c r="B7" s="77">
        <f>4147206+377194</f>
        <v>4524400</v>
      </c>
      <c r="C7" s="76"/>
    </row>
    <row r="8" spans="1:3" x14ac:dyDescent="0.2">
      <c r="A8" s="75" t="s">
        <v>231</v>
      </c>
      <c r="B8" s="76">
        <v>60</v>
      </c>
      <c r="C8" s="75" t="s">
        <v>232</v>
      </c>
    </row>
    <row r="9" spans="1:3" x14ac:dyDescent="0.2">
      <c r="A9" s="78" t="s">
        <v>322</v>
      </c>
      <c r="B9" s="79">
        <v>0.35</v>
      </c>
      <c r="C9" s="76"/>
    </row>
    <row r="10" spans="1:3" x14ac:dyDescent="0.2">
      <c r="A10" s="75" t="s">
        <v>221</v>
      </c>
      <c r="B10" s="77">
        <v>40000</v>
      </c>
      <c r="C10" s="75" t="s">
        <v>222</v>
      </c>
    </row>
    <row r="11" spans="1:3" x14ac:dyDescent="0.2">
      <c r="A11" s="75" t="s">
        <v>223</v>
      </c>
      <c r="B11" s="76">
        <v>10</v>
      </c>
      <c r="C11" s="75" t="s">
        <v>224</v>
      </c>
    </row>
    <row r="12" spans="1:3" x14ac:dyDescent="0.2">
      <c r="A12" s="75" t="s">
        <v>225</v>
      </c>
      <c r="B12" s="76">
        <v>26</v>
      </c>
      <c r="C12" s="75" t="s">
        <v>226</v>
      </c>
    </row>
    <row r="13" spans="1:3" x14ac:dyDescent="0.2">
      <c r="A13" s="75" t="s">
        <v>261</v>
      </c>
      <c r="B13" s="80">
        <v>0.2</v>
      </c>
      <c r="C13" s="75"/>
    </row>
    <row r="14" spans="1:3" x14ac:dyDescent="0.2">
      <c r="A14" s="75" t="s">
        <v>227</v>
      </c>
      <c r="B14" s="77">
        <f>+B10*B11*B12*(1+B13)</f>
        <v>12480000</v>
      </c>
      <c r="C14" s="75" t="s">
        <v>228</v>
      </c>
    </row>
    <row r="15" spans="1:3" x14ac:dyDescent="0.2">
      <c r="A15" s="75" t="s">
        <v>235</v>
      </c>
      <c r="B15" s="77">
        <f>+B14*6</f>
        <v>74880000</v>
      </c>
      <c r="C15" s="75" t="s">
        <v>236</v>
      </c>
    </row>
    <row r="17" spans="1:8" s="51" customFormat="1" x14ac:dyDescent="0.2">
      <c r="A17" s="143" t="s">
        <v>278</v>
      </c>
      <c r="B17" s="143"/>
      <c r="C17" s="143"/>
      <c r="D17" s="143"/>
      <c r="E17" s="143"/>
      <c r="F17" s="143"/>
      <c r="G17" s="143"/>
      <c r="H17" s="143"/>
    </row>
    <row r="18" spans="1:8" s="51" customFormat="1" ht="15.75" x14ac:dyDescent="0.2">
      <c r="B18" s="13" t="s">
        <v>8</v>
      </c>
      <c r="C18" s="1" t="s">
        <v>207</v>
      </c>
      <c r="D18" s="1" t="s">
        <v>208</v>
      </c>
      <c r="E18" s="1" t="s">
        <v>209</v>
      </c>
      <c r="F18" s="1" t="s">
        <v>210</v>
      </c>
      <c r="G18" s="1" t="s">
        <v>211</v>
      </c>
      <c r="H18" s="1" t="s">
        <v>212</v>
      </c>
    </row>
    <row r="19" spans="1:8" s="51" customFormat="1" x14ac:dyDescent="0.2">
      <c r="A19" s="5" t="s">
        <v>155</v>
      </c>
      <c r="B19" s="2">
        <v>232536033</v>
      </c>
      <c r="C19" s="2">
        <v>490263405.01999998</v>
      </c>
      <c r="D19" s="2">
        <f>+$B$55*B63</f>
        <v>973440000</v>
      </c>
      <c r="E19" s="2">
        <f>+($C$55*C63)</f>
        <v>1172620800</v>
      </c>
      <c r="F19" s="2">
        <f>+($D$55*D63)</f>
        <v>1563494400</v>
      </c>
      <c r="G19" s="2">
        <f>+($E$55*E63)*(1+E59)</f>
        <v>2029290651.6479998</v>
      </c>
      <c r="H19" s="2">
        <f>+($F$55*F63)*(1+F59)</f>
        <v>2601654681.5999999</v>
      </c>
    </row>
    <row r="20" spans="1:8" s="51" customFormat="1" x14ac:dyDescent="0.2"/>
    <row r="21" spans="1:8" s="51" customFormat="1" x14ac:dyDescent="0.2">
      <c r="A21" s="143" t="s">
        <v>279</v>
      </c>
      <c r="B21" s="143"/>
      <c r="C21" s="143"/>
      <c r="D21" s="143"/>
      <c r="E21" s="143"/>
      <c r="F21" s="143"/>
      <c r="G21" s="143"/>
      <c r="H21" s="143"/>
    </row>
    <row r="22" spans="1:8" s="51" customFormat="1" ht="15.75" x14ac:dyDescent="0.2">
      <c r="B22" s="13" t="s">
        <v>8</v>
      </c>
      <c r="C22" s="1" t="s">
        <v>207</v>
      </c>
      <c r="D22" s="1" t="s">
        <v>208</v>
      </c>
      <c r="E22" s="1" t="s">
        <v>209</v>
      </c>
      <c r="F22" s="1" t="s">
        <v>210</v>
      </c>
      <c r="G22" s="1" t="s">
        <v>211</v>
      </c>
      <c r="H22" s="1" t="s">
        <v>212</v>
      </c>
    </row>
    <row r="23" spans="1:8" s="51" customFormat="1" x14ac:dyDescent="0.2">
      <c r="A23" s="51" t="s">
        <v>213</v>
      </c>
      <c r="B23" s="51">
        <v>-18537925</v>
      </c>
      <c r="C23" s="51">
        <v>0</v>
      </c>
      <c r="D23" s="51">
        <f>+C23</f>
        <v>0</v>
      </c>
      <c r="E23" s="51">
        <f t="shared" ref="E23:H23" si="0">+D23</f>
        <v>0</v>
      </c>
      <c r="F23" s="51">
        <f t="shared" si="0"/>
        <v>0</v>
      </c>
      <c r="G23" s="51">
        <f t="shared" si="0"/>
        <v>0</v>
      </c>
      <c r="H23" s="51">
        <f t="shared" si="0"/>
        <v>0</v>
      </c>
    </row>
    <row r="24" spans="1:8" s="51" customFormat="1" x14ac:dyDescent="0.2"/>
    <row r="25" spans="1:8" s="51" customFormat="1" x14ac:dyDescent="0.2">
      <c r="A25" s="143" t="s">
        <v>280</v>
      </c>
      <c r="B25" s="143"/>
      <c r="C25" s="143"/>
      <c r="D25" s="143"/>
      <c r="E25" s="143"/>
      <c r="F25" s="143"/>
      <c r="G25" s="143"/>
      <c r="H25" s="143"/>
    </row>
    <row r="26" spans="1:8" s="51" customFormat="1" ht="15.75" x14ac:dyDescent="0.2">
      <c r="B26" s="13" t="s">
        <v>8</v>
      </c>
      <c r="C26" s="1" t="s">
        <v>207</v>
      </c>
      <c r="D26" s="1" t="s">
        <v>208</v>
      </c>
      <c r="E26" s="1" t="s">
        <v>209</v>
      </c>
      <c r="F26" s="1" t="s">
        <v>210</v>
      </c>
      <c r="G26" s="1" t="s">
        <v>211</v>
      </c>
      <c r="H26" s="1" t="s">
        <v>212</v>
      </c>
    </row>
    <row r="27" spans="1:8" s="51" customFormat="1" ht="25.5" x14ac:dyDescent="0.2">
      <c r="A27" s="5" t="s">
        <v>16</v>
      </c>
      <c r="B27" s="2">
        <v>8416733</v>
      </c>
      <c r="C27" s="2">
        <v>49681717.819999993</v>
      </c>
      <c r="D27" s="2">
        <f>+D19/$B$28</f>
        <v>57678541.154742785</v>
      </c>
      <c r="E27" s="2">
        <f>+E19/$B$28</f>
        <v>69480458.037174776</v>
      </c>
      <c r="F27" s="2">
        <f>+F19/$B$28</f>
        <v>92640610.71623303</v>
      </c>
      <c r="G27" s="2">
        <f>+G19/$B$28</f>
        <v>120240101.46081316</v>
      </c>
      <c r="H27" s="2">
        <f>+H19/$B$28</f>
        <v>154153976.23181176</v>
      </c>
    </row>
    <row r="28" spans="1:8" s="51" customFormat="1" x14ac:dyDescent="0.2">
      <c r="A28" s="51" t="s">
        <v>281</v>
      </c>
      <c r="B28" s="30">
        <f>+'Indices Financieros 2024'!C8</f>
        <v>16.876987186420127</v>
      </c>
    </row>
    <row r="29" spans="1:8" s="51" customFormat="1" x14ac:dyDescent="0.2"/>
    <row r="30" spans="1:8" s="51" customFormat="1" x14ac:dyDescent="0.2">
      <c r="A30" s="143" t="s">
        <v>282</v>
      </c>
      <c r="B30" s="143"/>
      <c r="C30" s="143"/>
      <c r="D30" s="143"/>
      <c r="E30" s="143"/>
      <c r="F30" s="143"/>
      <c r="G30" s="143"/>
      <c r="H30" s="143"/>
    </row>
    <row r="31" spans="1:8" s="51" customFormat="1" ht="15.75" x14ac:dyDescent="0.2">
      <c r="B31" s="13" t="s">
        <v>8</v>
      </c>
      <c r="C31" s="1" t="s">
        <v>207</v>
      </c>
      <c r="D31" s="1" t="s">
        <v>208</v>
      </c>
      <c r="E31" s="1" t="s">
        <v>209</v>
      </c>
      <c r="F31" s="1" t="s">
        <v>210</v>
      </c>
      <c r="G31" s="1" t="s">
        <v>211</v>
      </c>
      <c r="H31" s="1" t="s">
        <v>212</v>
      </c>
    </row>
    <row r="32" spans="1:8" s="51" customFormat="1" ht="25.5" x14ac:dyDescent="0.2">
      <c r="A32" s="5" t="s">
        <v>41</v>
      </c>
      <c r="B32" s="2">
        <v>-280608801.22999996</v>
      </c>
      <c r="C32" s="2">
        <v>-264400702.97999999</v>
      </c>
      <c r="D32" s="2">
        <f>+'Proyecciones EF'!D34</f>
        <v>-73479632.212545842</v>
      </c>
      <c r="E32" s="2">
        <f>+'Proyecciones EF'!E34</f>
        <v>-88706405.762012184</v>
      </c>
      <c r="F32" s="2">
        <f>+'Proyecciones EF'!F34</f>
        <v>-121581324.4664185</v>
      </c>
      <c r="G32" s="2">
        <f>+'Proyecciones EF'!G34</f>
        <v>-179948237.0524101</v>
      </c>
      <c r="H32" s="2">
        <f>+'Proyecciones EF'!H34</f>
        <v>-277539803.33379573</v>
      </c>
    </row>
    <row r="33" spans="1:8" s="51" customFormat="1" x14ac:dyDescent="0.2">
      <c r="B33" s="30"/>
    </row>
    <row r="34" spans="1:8" s="51" customFormat="1" x14ac:dyDescent="0.2">
      <c r="A34" s="51" t="s">
        <v>283</v>
      </c>
      <c r="B34" s="17">
        <v>7.0000000000000007E-2</v>
      </c>
    </row>
    <row r="35" spans="1:8" s="51" customFormat="1" x14ac:dyDescent="0.2"/>
    <row r="36" spans="1:8" s="51" customFormat="1" x14ac:dyDescent="0.2">
      <c r="A36" s="143" t="s">
        <v>285</v>
      </c>
      <c r="B36" s="143"/>
      <c r="C36" s="143"/>
      <c r="D36" s="143"/>
      <c r="E36" s="143"/>
      <c r="F36" s="143"/>
      <c r="G36" s="143"/>
      <c r="H36" s="143"/>
    </row>
    <row r="37" spans="1:8" s="51" customFormat="1" ht="15.75" x14ac:dyDescent="0.2">
      <c r="B37" s="13" t="s">
        <v>8</v>
      </c>
      <c r="C37" s="1" t="s">
        <v>207</v>
      </c>
      <c r="D37" s="1" t="s">
        <v>208</v>
      </c>
      <c r="E37" s="1" t="s">
        <v>209</v>
      </c>
      <c r="F37" s="1" t="s">
        <v>210</v>
      </c>
      <c r="G37" s="1" t="s">
        <v>211</v>
      </c>
      <c r="H37" s="1" t="s">
        <v>212</v>
      </c>
    </row>
    <row r="38" spans="1:8" s="51" customFormat="1" ht="25.5" x14ac:dyDescent="0.2">
      <c r="A38" s="5" t="s">
        <v>34</v>
      </c>
      <c r="B38" s="2">
        <v>2325360.33</v>
      </c>
      <c r="C38" s="2">
        <v>7227994.3799999999</v>
      </c>
      <c r="D38" s="2">
        <f>+$B$40*'Proyecciones EF'!D91</f>
        <v>11532274.237190975</v>
      </c>
      <c r="E38" s="2">
        <f>+$B$40*'Proyecciones EF'!E91</f>
        <v>13891954.965723896</v>
      </c>
      <c r="F38" s="2">
        <f>+$B$40*'Proyecciones EF'!F91</f>
        <v>18522606.620965194</v>
      </c>
      <c r="G38" s="2">
        <f>+$B$40*'Proyecciones EF'!G91</f>
        <v>24040861.585483145</v>
      </c>
      <c r="H38" s="2">
        <f>+$B$40*'Proyecciones EF'!H91</f>
        <v>30821617.417286083</v>
      </c>
    </row>
    <row r="39" spans="1:8" s="51" customFormat="1" x14ac:dyDescent="0.2">
      <c r="A39" s="51" t="s">
        <v>286</v>
      </c>
      <c r="B39" s="30">
        <f>+B38/'Proyecciones EF'!B92</f>
        <v>9.4983988650775997E-3</v>
      </c>
      <c r="C39" s="30">
        <f>+C38/'Proyecciones EF'!C92</f>
        <v>1.4195458459854546E-2</v>
      </c>
    </row>
    <row r="40" spans="1:8" s="51" customFormat="1" x14ac:dyDescent="0.2">
      <c r="A40" s="51" t="s">
        <v>287</v>
      </c>
      <c r="B40" s="17">
        <f>+AVERAGE(B39:C39)</f>
        <v>1.1846928662466073E-2</v>
      </c>
    </row>
    <row r="41" spans="1:8" s="51" customFormat="1" x14ac:dyDescent="0.2"/>
    <row r="42" spans="1:8" s="51" customFormat="1" x14ac:dyDescent="0.2">
      <c r="A42" s="143" t="s">
        <v>288</v>
      </c>
      <c r="B42" s="143"/>
      <c r="C42" s="143"/>
      <c r="D42" s="143"/>
      <c r="E42" s="143"/>
      <c r="F42" s="143"/>
      <c r="G42" s="143"/>
      <c r="H42" s="143"/>
    </row>
    <row r="43" spans="1:8" s="51" customFormat="1" ht="15.75" x14ac:dyDescent="0.2">
      <c r="B43" s="13" t="s">
        <v>8</v>
      </c>
      <c r="C43" s="1" t="s">
        <v>207</v>
      </c>
      <c r="D43" s="1" t="s">
        <v>208</v>
      </c>
      <c r="E43" s="1" t="s">
        <v>209</v>
      </c>
      <c r="F43" s="1" t="s">
        <v>210</v>
      </c>
      <c r="G43" s="1" t="s">
        <v>211</v>
      </c>
      <c r="H43" s="1" t="s">
        <v>212</v>
      </c>
    </row>
    <row r="44" spans="1:8" s="51" customFormat="1" x14ac:dyDescent="0.2">
      <c r="A44" s="5" t="s">
        <v>51</v>
      </c>
      <c r="B44" s="2">
        <v>-989266.74</v>
      </c>
      <c r="C44" s="2">
        <v>9009881.6300000008</v>
      </c>
      <c r="D44" s="2">
        <f>+$B$46*'Proyecciones EF'!D91</f>
        <v>6645746.8477890743</v>
      </c>
      <c r="E44" s="2">
        <f>+$B$46*'Proyecciones EF'!E91</f>
        <v>8005568.8951059161</v>
      </c>
      <c r="F44" s="2">
        <f>+$B$46*'Proyecciones EF'!F91</f>
        <v>10674091.860141221</v>
      </c>
      <c r="G44" s="2">
        <f>+$B$46*'Proyecciones EF'!G91</f>
        <v>13854117.307114493</v>
      </c>
      <c r="H44" s="2">
        <f>+$B$46*'Proyecciones EF'!H91</f>
        <v>17761688.85527499</v>
      </c>
    </row>
    <row r="45" spans="1:8" s="51" customFormat="1" x14ac:dyDescent="0.2">
      <c r="A45" s="51" t="s">
        <v>286</v>
      </c>
      <c r="B45" s="30">
        <f>+B44/'Proyecciones EF'!B92</f>
        <v>-4.0408576508549178E-3</v>
      </c>
      <c r="C45" s="30">
        <f>+C44/'Proyecciones EF'!C92</f>
        <v>1.7695005513669419E-2</v>
      </c>
    </row>
    <row r="46" spans="1:8" s="51" customFormat="1" x14ac:dyDescent="0.2">
      <c r="A46" s="51" t="s">
        <v>287</v>
      </c>
      <c r="B46" s="17">
        <f>+AVERAGE(B45:C45)</f>
        <v>6.8270739314072511E-3</v>
      </c>
    </row>
    <row r="47" spans="1:8" s="51" customFormat="1" x14ac:dyDescent="0.2"/>
    <row r="48" spans="1:8" s="51" customFormat="1" x14ac:dyDescent="0.2">
      <c r="B48" s="17">
        <f>+'Proyecciones EF'!C133/'Proyecciones EF'!C91</f>
        <v>-0.10114270290677141</v>
      </c>
    </row>
    <row r="49" spans="1:6" s="51" customFormat="1" x14ac:dyDescent="0.2"/>
    <row r="50" spans="1:6" x14ac:dyDescent="0.2">
      <c r="A50" s="76"/>
      <c r="B50" s="85" t="s">
        <v>208</v>
      </c>
      <c r="C50" s="85" t="s">
        <v>209</v>
      </c>
      <c r="D50" s="85" t="s">
        <v>210</v>
      </c>
      <c r="E50" s="85" t="s">
        <v>211</v>
      </c>
      <c r="F50" s="85" t="s">
        <v>212</v>
      </c>
    </row>
    <row r="51" spans="1:6" x14ac:dyDescent="0.2">
      <c r="A51" s="85" t="s">
        <v>238</v>
      </c>
      <c r="B51" s="76">
        <v>0</v>
      </c>
      <c r="C51" s="75">
        <v>0</v>
      </c>
      <c r="D51" s="76">
        <v>3</v>
      </c>
      <c r="E51" s="76">
        <v>0</v>
      </c>
      <c r="F51" s="76">
        <v>4</v>
      </c>
    </row>
    <row r="52" spans="1:6" x14ac:dyDescent="0.2">
      <c r="A52" s="85" t="s">
        <v>239</v>
      </c>
      <c r="B52" s="76">
        <v>1</v>
      </c>
      <c r="C52" s="76">
        <v>2</v>
      </c>
      <c r="D52" s="76">
        <v>2</v>
      </c>
      <c r="E52" s="76">
        <v>4</v>
      </c>
      <c r="F52" s="76">
        <v>4</v>
      </c>
    </row>
    <row r="53" spans="1:6" x14ac:dyDescent="0.2">
      <c r="A53" s="85" t="s">
        <v>325</v>
      </c>
      <c r="B53" s="76">
        <f>+SUM(B51:B52)</f>
        <v>1</v>
      </c>
      <c r="C53" s="76">
        <f t="shared" ref="C53:E53" si="1">+SUM(C51:C52)</f>
        <v>2</v>
      </c>
      <c r="D53" s="76">
        <f t="shared" si="1"/>
        <v>5</v>
      </c>
      <c r="E53" s="76">
        <f t="shared" si="1"/>
        <v>4</v>
      </c>
      <c r="F53" s="76">
        <f>+SUM(F51:F52)</f>
        <v>8</v>
      </c>
    </row>
    <row r="54" spans="1:6" x14ac:dyDescent="0.2">
      <c r="A54" s="85" t="s">
        <v>250</v>
      </c>
      <c r="B54" s="76">
        <v>1</v>
      </c>
      <c r="C54" s="76">
        <f>+C52+B54</f>
        <v>3</v>
      </c>
      <c r="D54" s="76">
        <f t="shared" ref="D54:F54" si="2">+D52+C54</f>
        <v>5</v>
      </c>
      <c r="E54" s="76">
        <f>+E52+D54</f>
        <v>9</v>
      </c>
      <c r="F54" s="76">
        <f t="shared" si="2"/>
        <v>13</v>
      </c>
    </row>
    <row r="55" spans="1:6" s="69" customFormat="1" x14ac:dyDescent="0.2">
      <c r="A55" s="85" t="s">
        <v>235</v>
      </c>
      <c r="B55" s="82">
        <f>+B15</f>
        <v>74880000</v>
      </c>
      <c r="C55" s="82">
        <f>+B55*(1+C59)</f>
        <v>78174720</v>
      </c>
      <c r="D55" s="82">
        <f>+C55</f>
        <v>78174720</v>
      </c>
      <c r="E55" s="82">
        <f>+D55*(1+E59)</f>
        <v>81301708.799999997</v>
      </c>
      <c r="F55" s="82">
        <f>+E55</f>
        <v>81301708.799999997</v>
      </c>
    </row>
    <row r="56" spans="1:6" x14ac:dyDescent="0.2">
      <c r="A56" s="85" t="s">
        <v>240</v>
      </c>
      <c r="B56" s="82">
        <f>+B6</f>
        <v>130000000</v>
      </c>
      <c r="C56" s="82">
        <f t="shared" ref="C56:F57" si="3">+B56*(1+$B$59)*(1+$B$58)</f>
        <v>138909030</v>
      </c>
      <c r="D56" s="82">
        <f t="shared" si="3"/>
        <v>148428604.73492998</v>
      </c>
      <c r="E56" s="82">
        <f t="shared" si="3"/>
        <v>158600565.44601944</v>
      </c>
      <c r="F56" s="82">
        <f t="shared" si="3"/>
        <v>169469620.79660058</v>
      </c>
    </row>
    <row r="57" spans="1:6" x14ac:dyDescent="0.2">
      <c r="A57" s="85" t="s">
        <v>241</v>
      </c>
      <c r="B57" s="82">
        <f>+B7</f>
        <v>4524400</v>
      </c>
      <c r="C57" s="83">
        <f t="shared" si="3"/>
        <v>4834461.6563999988</v>
      </c>
      <c r="D57" s="83">
        <f t="shared" si="3"/>
        <v>5165772.148174746</v>
      </c>
      <c r="E57" s="83">
        <f t="shared" si="3"/>
        <v>5519787.6792613082</v>
      </c>
      <c r="F57" s="83">
        <f t="shared" si="3"/>
        <v>5898064.2487087641</v>
      </c>
    </row>
    <row r="58" spans="1:6" x14ac:dyDescent="0.2">
      <c r="A58" s="85" t="s">
        <v>233</v>
      </c>
      <c r="B58" s="84">
        <v>8.9999999999999993E-3</v>
      </c>
      <c r="C58" s="84">
        <v>2.5999999999999999E-2</v>
      </c>
      <c r="D58" s="84">
        <v>2.5999999999999999E-2</v>
      </c>
      <c r="E58" s="84">
        <v>2.8000000000000001E-2</v>
      </c>
      <c r="F58" s="84">
        <v>2.8000000000000001E-2</v>
      </c>
    </row>
    <row r="59" spans="1:6" x14ac:dyDescent="0.2">
      <c r="A59" s="85" t="s">
        <v>234</v>
      </c>
      <c r="B59" s="84">
        <v>5.8999999999999997E-2</v>
      </c>
      <c r="C59" s="84">
        <v>4.3999999999999997E-2</v>
      </c>
      <c r="D59" s="76">
        <v>0</v>
      </c>
      <c r="E59" s="84">
        <v>0.04</v>
      </c>
      <c r="F59" s="76">
        <v>0</v>
      </c>
    </row>
    <row r="60" spans="1:6" x14ac:dyDescent="0.2">
      <c r="A60" s="85" t="s">
        <v>243</v>
      </c>
      <c r="B60" s="82">
        <f>+('Proyecciones EF'!D24-('Proyecciones EF'!D24*20%))/7</f>
        <v>51794227.507428572</v>
      </c>
      <c r="C60" s="82">
        <f>+('Proyecciones EF'!E24-('Proyecciones EF'!E24*20%))/7</f>
        <v>51794227.507428572</v>
      </c>
      <c r="D60" s="82">
        <f>+('Proyecciones EF'!F24-('Proyecciones EF'!F24*20%))/7</f>
        <v>102684034.84511885</v>
      </c>
      <c r="E60" s="82">
        <f>+('Proyecciones EF'!G24-('Proyecciones EF'!G24*20%))/7</f>
        <v>102684034.84511885</v>
      </c>
      <c r="F60" s="82">
        <f>+('Proyecciones EF'!H24-('Proyecciones EF'!H24*20%))/7</f>
        <v>180155861.49499342</v>
      </c>
    </row>
    <row r="61" spans="1:6" x14ac:dyDescent="0.2">
      <c r="A61" s="85" t="s">
        <v>244</v>
      </c>
      <c r="B61" s="82">
        <f>+B60/2</f>
        <v>25897113.753714286</v>
      </c>
      <c r="C61" s="82">
        <f t="shared" ref="C61:E61" si="4">+C60/2</f>
        <v>25897113.753714286</v>
      </c>
      <c r="D61" s="82">
        <f t="shared" si="4"/>
        <v>51342017.422559425</v>
      </c>
      <c r="E61" s="82">
        <f t="shared" si="4"/>
        <v>51342017.422559425</v>
      </c>
      <c r="F61" s="82">
        <f>+F60/2</f>
        <v>90077930.747496709</v>
      </c>
    </row>
    <row r="62" spans="1:6" x14ac:dyDescent="0.2">
      <c r="A62" s="75" t="s">
        <v>252</v>
      </c>
      <c r="B62" s="76">
        <v>12</v>
      </c>
      <c r="C62" s="76"/>
      <c r="D62" s="76"/>
      <c r="E62" s="76"/>
      <c r="F62" s="76"/>
    </row>
    <row r="63" spans="1:6" s="69" customFormat="1" x14ac:dyDescent="0.2">
      <c r="A63" s="75" t="s">
        <v>253</v>
      </c>
      <c r="B63" s="76">
        <f>+$B$62+B53</f>
        <v>13</v>
      </c>
      <c r="C63" s="76">
        <f>+B63+C53</f>
        <v>15</v>
      </c>
      <c r="D63" s="76">
        <f>+C63+D53</f>
        <v>20</v>
      </c>
      <c r="E63" s="76">
        <f>+D63+E53</f>
        <v>24</v>
      </c>
      <c r="F63" s="76">
        <f>+E63+F53</f>
        <v>32</v>
      </c>
    </row>
    <row r="64" spans="1:6" s="69" customFormat="1" x14ac:dyDescent="0.2"/>
    <row r="65" spans="1:4" x14ac:dyDescent="0.2">
      <c r="A65" s="33" t="s">
        <v>237</v>
      </c>
      <c r="B65" s="16">
        <f>+'Proyecciones EF'!B104/'Proyecciones EF'!B23</f>
        <v>-2.3140770645648789E-2</v>
      </c>
      <c r="C65" s="16">
        <f>+'Proyecciones EF'!C104/'Proyecciones EF'!C23</f>
        <v>-1.3215415115790493E-2</v>
      </c>
      <c r="D65" s="34">
        <f>+C65</f>
        <v>-1.3215415115790493E-2</v>
      </c>
    </row>
    <row r="66" spans="1:4" x14ac:dyDescent="0.2">
      <c r="B66" s="34">
        <f>+B65</f>
        <v>-2.3140770645648789E-2</v>
      </c>
      <c r="C66" s="34">
        <f>+SUM(C65:D65)</f>
        <v>-2.6430830231580986E-2</v>
      </c>
    </row>
    <row r="67" spans="1:4" x14ac:dyDescent="0.2">
      <c r="A67" s="33" t="s">
        <v>236</v>
      </c>
      <c r="B67" s="34">
        <f>+AVERAGE(B66:C66)</f>
        <v>-2.4785800438614888E-2</v>
      </c>
    </row>
    <row r="68" spans="1:4" x14ac:dyDescent="0.2">
      <c r="A68" s="33" t="s">
        <v>242</v>
      </c>
      <c r="B68" s="34">
        <f>+B67/2</f>
        <v>-1.2392900219307444E-2</v>
      </c>
    </row>
    <row r="73" spans="1:4" x14ac:dyDescent="0.2">
      <c r="A73" s="33" t="s">
        <v>245</v>
      </c>
      <c r="B73" s="17">
        <f>-'Proyecciones EF'!B99/'Proyecciones EF'!B133</f>
        <v>1.745662128086568E-2</v>
      </c>
    </row>
    <row r="74" spans="1:4" x14ac:dyDescent="0.2">
      <c r="A74" s="33" t="s">
        <v>246</v>
      </c>
      <c r="B74" s="17">
        <f>-'Proyecciones EF'!C106/'Proyecciones EF'!C91</f>
        <v>0.57315607806488611</v>
      </c>
      <c r="C74" s="17"/>
    </row>
    <row r="75" spans="1:4" x14ac:dyDescent="0.2">
      <c r="A75" s="33" t="s">
        <v>247</v>
      </c>
      <c r="B75" s="36">
        <v>0.1</v>
      </c>
      <c r="C75" s="37">
        <v>0.12</v>
      </c>
      <c r="D75" s="33" t="s">
        <v>248</v>
      </c>
    </row>
    <row r="76" spans="1:4" x14ac:dyDescent="0.2">
      <c r="A76" s="33" t="s">
        <v>251</v>
      </c>
      <c r="B76" s="11">
        <v>6.6000000000000003E-2</v>
      </c>
    </row>
    <row r="81" spans="1:6" x14ac:dyDescent="0.2">
      <c r="A81" s="33" t="s">
        <v>260</v>
      </c>
      <c r="C81" s="35">
        <f>+(B15*(1+C59))</f>
        <v>78174720</v>
      </c>
      <c r="D81" s="35">
        <f>+C81</f>
        <v>78174720</v>
      </c>
      <c r="E81" s="35">
        <f>+D81*(1+E59)</f>
        <v>81301708.799999997</v>
      </c>
      <c r="F81" s="35">
        <f>+E81</f>
        <v>81301708.799999997</v>
      </c>
    </row>
    <row r="82" spans="1:6" ht="25.5" x14ac:dyDescent="0.2">
      <c r="A82" s="38" t="s">
        <v>254</v>
      </c>
      <c r="C82" s="35">
        <f>+'Proyecciones EF'!D92*(1+Supuestos!C59)</f>
        <v>0</v>
      </c>
      <c r="D82" s="35">
        <f>+C82*(1+Supuestos!D59)</f>
        <v>0</v>
      </c>
      <c r="E82" s="35">
        <f>+D82*(1+Supuestos!E59)</f>
        <v>0</v>
      </c>
      <c r="F82" s="35">
        <f>+E82*(1+Supuestos!F59)</f>
        <v>0</v>
      </c>
    </row>
    <row r="83" spans="1:6" x14ac:dyDescent="0.2">
      <c r="A83" s="38" t="s">
        <v>255</v>
      </c>
      <c r="C83" s="35">
        <f>+C82*$B$74</f>
        <v>0</v>
      </c>
      <c r="D83" s="35">
        <f t="shared" ref="D83:F83" si="5">+D82*$B$74</f>
        <v>0</v>
      </c>
      <c r="E83" s="35">
        <f t="shared" si="5"/>
        <v>0</v>
      </c>
      <c r="F83" s="35">
        <f t="shared" si="5"/>
        <v>0</v>
      </c>
    </row>
    <row r="84" spans="1:6" x14ac:dyDescent="0.2">
      <c r="A84" s="7"/>
      <c r="C84" s="74"/>
      <c r="D84" s="15"/>
      <c r="E84" s="15"/>
      <c r="F84" s="15"/>
    </row>
    <row r="85" spans="1:6" x14ac:dyDescent="0.2">
      <c r="A85" s="38" t="s">
        <v>256</v>
      </c>
      <c r="B85" s="2">
        <f>+'Proyecciones EF'!C107</f>
        <v>-32595544.25</v>
      </c>
      <c r="C85" s="2">
        <f>+'Proyecciones EF'!D107</f>
        <v>0</v>
      </c>
      <c r="D85" s="2">
        <f>+'Proyecciones EF'!E107</f>
        <v>0</v>
      </c>
      <c r="E85" s="2">
        <f>+'Proyecciones EF'!F107</f>
        <v>0</v>
      </c>
      <c r="F85" s="2">
        <f>+'Proyecciones EF'!G107</f>
        <v>0</v>
      </c>
    </row>
    <row r="86" spans="1:6" x14ac:dyDescent="0.2">
      <c r="A86" s="38" t="s">
        <v>257</v>
      </c>
      <c r="B86" s="2">
        <f>+'Proyecciones EF'!C133</f>
        <v>-49586565.920000002</v>
      </c>
      <c r="C86" s="2">
        <f>+'Proyecciones EF'!D133</f>
        <v>98456352.717567563</v>
      </c>
      <c r="D86" s="2">
        <f>+'Proyecciones EF'!E133</f>
        <v>118602037.19670062</v>
      </c>
      <c r="E86" s="2">
        <f>+'Proyecciones EF'!F133</f>
        <v>158136049.59560081</v>
      </c>
      <c r="F86" s="2">
        <f>+'Proyecciones EF'!G133</f>
        <v>205247941.49112219</v>
      </c>
    </row>
    <row r="87" spans="1:6" x14ac:dyDescent="0.2">
      <c r="A87" s="38" t="s">
        <v>258</v>
      </c>
      <c r="B87" s="17">
        <f>+B85/B86</f>
        <v>0.65734627202431606</v>
      </c>
      <c r="C87" s="17">
        <f t="shared" ref="C87:F87" si="6">+C85/C86</f>
        <v>0</v>
      </c>
      <c r="D87" s="17">
        <f t="shared" si="6"/>
        <v>0</v>
      </c>
      <c r="E87" s="17">
        <f t="shared" si="6"/>
        <v>0</v>
      </c>
      <c r="F87" s="17">
        <f t="shared" si="6"/>
        <v>0</v>
      </c>
    </row>
    <row r="88" spans="1:6" x14ac:dyDescent="0.2">
      <c r="A88" s="7"/>
      <c r="B88" s="33"/>
    </row>
    <row r="89" spans="1:6" x14ac:dyDescent="0.2">
      <c r="A89" s="7"/>
    </row>
    <row r="90" spans="1:6" x14ac:dyDescent="0.2">
      <c r="A90" s="39" t="s">
        <v>259</v>
      </c>
      <c r="B90" s="35">
        <v>2183836</v>
      </c>
      <c r="C90" s="17">
        <f>+B90/B14</f>
        <v>0.17498685897435898</v>
      </c>
    </row>
    <row r="92" spans="1:6" x14ac:dyDescent="0.2">
      <c r="A92" s="33" t="s">
        <v>262</v>
      </c>
      <c r="C92" s="40">
        <f>+'Proyecciones EF'!C16/'Proyecciones EF'!C92</f>
        <v>3.4577598376864032E-3</v>
      </c>
    </row>
    <row r="94" spans="1:6" x14ac:dyDescent="0.2">
      <c r="A94" s="33" t="s">
        <v>264</v>
      </c>
      <c r="B94" s="30">
        <f>+'Indices Financieros 2024'!C12</f>
        <v>4.7140242638674854</v>
      </c>
      <c r="C94">
        <v>1.17</v>
      </c>
    </row>
    <row r="96" spans="1:6" x14ac:dyDescent="0.2">
      <c r="A96" s="52" t="s">
        <v>277</v>
      </c>
      <c r="B96" s="36">
        <v>0.35</v>
      </c>
    </row>
    <row r="98" spans="1:6" ht="15" x14ac:dyDescent="0.25">
      <c r="D98" s="43"/>
      <c r="E98" s="42"/>
      <c r="F98" s="42"/>
    </row>
    <row r="99" spans="1:6" ht="15" x14ac:dyDescent="0.25">
      <c r="D99" s="44"/>
      <c r="E99" s="42"/>
      <c r="F99" s="42"/>
    </row>
    <row r="100" spans="1:6" ht="15" x14ac:dyDescent="0.25">
      <c r="D100" s="45"/>
      <c r="E100" s="42"/>
      <c r="F100" s="46"/>
    </row>
    <row r="101" spans="1:6" ht="15" x14ac:dyDescent="0.25">
      <c r="D101" s="42"/>
      <c r="E101" s="42"/>
      <c r="F101" s="42"/>
    </row>
    <row r="102" spans="1:6" ht="15" x14ac:dyDescent="0.25">
      <c r="A102" s="133" t="s">
        <v>266</v>
      </c>
      <c r="B102" s="134">
        <f>+D56*D51</f>
        <v>445285814.20478994</v>
      </c>
      <c r="C102" s="42"/>
      <c r="D102" s="42"/>
      <c r="E102" s="42"/>
      <c r="F102" s="42"/>
    </row>
    <row r="103" spans="1:6" ht="18" x14ac:dyDescent="0.35">
      <c r="A103" s="133" t="s">
        <v>267</v>
      </c>
      <c r="B103" s="135">
        <v>0.02</v>
      </c>
      <c r="C103" s="42" t="s">
        <v>268</v>
      </c>
      <c r="D103" s="42"/>
      <c r="E103" s="42"/>
      <c r="F103" s="42"/>
    </row>
    <row r="104" spans="1:6" ht="15" x14ac:dyDescent="0.25">
      <c r="A104" s="133" t="s">
        <v>269</v>
      </c>
      <c r="B104" s="136">
        <f>+PMT(B103,B105,-B102)</f>
        <v>12809967.085759744</v>
      </c>
      <c r="C104" s="42"/>
      <c r="D104" s="42"/>
      <c r="E104" s="42"/>
      <c r="F104" s="42"/>
    </row>
    <row r="105" spans="1:6" ht="15" x14ac:dyDescent="0.25">
      <c r="A105" s="133" t="s">
        <v>270</v>
      </c>
      <c r="B105" s="133">
        <v>60</v>
      </c>
      <c r="C105" s="42" t="s">
        <v>232</v>
      </c>
      <c r="D105" s="42"/>
      <c r="E105" s="42"/>
      <c r="F105" s="42"/>
    </row>
    <row r="106" spans="1:6" ht="15" x14ac:dyDescent="0.25">
      <c r="A106" s="42"/>
      <c r="B106" s="47"/>
      <c r="C106" s="42"/>
      <c r="D106" s="42"/>
      <c r="E106" s="42"/>
      <c r="F106" s="42"/>
    </row>
    <row r="107" spans="1:6" ht="15" x14ac:dyDescent="0.25">
      <c r="A107" s="42"/>
      <c r="B107" s="42"/>
      <c r="C107" s="42"/>
      <c r="D107" s="42"/>
      <c r="E107" s="42"/>
      <c r="F107" s="42"/>
    </row>
    <row r="108" spans="1:6" ht="15" x14ac:dyDescent="0.25">
      <c r="A108" s="141" t="s">
        <v>394</v>
      </c>
      <c r="B108" s="142"/>
      <c r="C108" s="142"/>
      <c r="D108" s="142"/>
      <c r="E108" s="142"/>
      <c r="F108" s="142"/>
    </row>
    <row r="109" spans="1:6" ht="15" x14ac:dyDescent="0.25">
      <c r="A109" s="48" t="s">
        <v>271</v>
      </c>
      <c r="B109" s="48" t="s">
        <v>272</v>
      </c>
      <c r="C109" s="48" t="s">
        <v>273</v>
      </c>
      <c r="D109" s="48" t="s">
        <v>274</v>
      </c>
      <c r="E109" s="48" t="s">
        <v>275</v>
      </c>
      <c r="F109" s="48" t="s">
        <v>276</v>
      </c>
    </row>
    <row r="110" spans="1:6" ht="15" x14ac:dyDescent="0.25">
      <c r="A110" s="49">
        <v>1</v>
      </c>
      <c r="B110" s="47">
        <f>+B102</f>
        <v>445285814.20478994</v>
      </c>
      <c r="C110" s="47">
        <f t="shared" ref="C110:C141" si="7">+B110*$B$103</f>
        <v>8905716.2840957996</v>
      </c>
      <c r="D110" s="47">
        <f>+E110-C110</f>
        <v>3904250.8016639445</v>
      </c>
      <c r="E110" s="46">
        <f t="shared" ref="E110:E141" si="8">+$B$104</f>
        <v>12809967.085759744</v>
      </c>
      <c r="F110" s="47">
        <f>+B110-D110</f>
        <v>441381563.403126</v>
      </c>
    </row>
    <row r="111" spans="1:6" ht="15" x14ac:dyDescent="0.25">
      <c r="A111" s="49">
        <v>2</v>
      </c>
      <c r="B111" s="47">
        <f>+F110</f>
        <v>441381563.403126</v>
      </c>
      <c r="C111" s="47">
        <f t="shared" si="7"/>
        <v>8827631.2680625208</v>
      </c>
      <c r="D111" s="47">
        <f t="shared" ref="D111:D169" si="9">+E111-C111</f>
        <v>3982335.8176972233</v>
      </c>
      <c r="E111" s="46">
        <f t="shared" si="8"/>
        <v>12809967.085759744</v>
      </c>
      <c r="F111" s="47">
        <f>+B111-D111</f>
        <v>437399227.58542877</v>
      </c>
    </row>
    <row r="112" spans="1:6" ht="15" x14ac:dyDescent="0.25">
      <c r="A112" s="49">
        <v>3</v>
      </c>
      <c r="B112" s="47">
        <f t="shared" ref="B112:B169" si="10">+F111</f>
        <v>437399227.58542877</v>
      </c>
      <c r="C112" s="47">
        <f t="shared" si="7"/>
        <v>8747984.5517085753</v>
      </c>
      <c r="D112" s="47">
        <f t="shared" si="9"/>
        <v>4061982.5340511687</v>
      </c>
      <c r="E112" s="46">
        <f t="shared" si="8"/>
        <v>12809967.085759744</v>
      </c>
      <c r="F112" s="47">
        <f t="shared" ref="F112:F169" si="11">+B112-D112</f>
        <v>433337245.05137759</v>
      </c>
    </row>
    <row r="113" spans="1:6" ht="15" x14ac:dyDescent="0.25">
      <c r="A113" s="49">
        <v>4</v>
      </c>
      <c r="B113" s="47">
        <f t="shared" si="10"/>
        <v>433337245.05137759</v>
      </c>
      <c r="C113" s="47">
        <f t="shared" si="7"/>
        <v>8666744.9010275528</v>
      </c>
      <c r="D113" s="47">
        <f t="shared" si="9"/>
        <v>4143222.1847321913</v>
      </c>
      <c r="E113" s="46">
        <f t="shared" si="8"/>
        <v>12809967.085759744</v>
      </c>
      <c r="F113" s="47">
        <f t="shared" si="11"/>
        <v>429194022.8666454</v>
      </c>
    </row>
    <row r="114" spans="1:6" ht="15" x14ac:dyDescent="0.25">
      <c r="A114" s="49">
        <v>5</v>
      </c>
      <c r="B114" s="47">
        <f t="shared" si="10"/>
        <v>429194022.8666454</v>
      </c>
      <c r="C114" s="47">
        <f t="shared" si="7"/>
        <v>8583880.4573329072</v>
      </c>
      <c r="D114" s="47">
        <f t="shared" si="9"/>
        <v>4226086.6284268368</v>
      </c>
      <c r="E114" s="46">
        <f t="shared" si="8"/>
        <v>12809967.085759744</v>
      </c>
      <c r="F114" s="47">
        <f t="shared" si="11"/>
        <v>424967936.23821855</v>
      </c>
    </row>
    <row r="115" spans="1:6" ht="15" x14ac:dyDescent="0.25">
      <c r="A115" s="49">
        <v>6</v>
      </c>
      <c r="B115" s="47">
        <f>+F114</f>
        <v>424967936.23821855</v>
      </c>
      <c r="C115" s="47">
        <f t="shared" si="7"/>
        <v>8499358.7247643713</v>
      </c>
      <c r="D115" s="47">
        <f t="shared" si="9"/>
        <v>4310608.3609953728</v>
      </c>
      <c r="E115" s="46">
        <f t="shared" si="8"/>
        <v>12809967.085759744</v>
      </c>
      <c r="F115" s="47">
        <f t="shared" si="11"/>
        <v>420657327.87722319</v>
      </c>
    </row>
    <row r="116" spans="1:6" ht="15" x14ac:dyDescent="0.25">
      <c r="A116" s="49">
        <v>7</v>
      </c>
      <c r="B116" s="47">
        <f t="shared" si="10"/>
        <v>420657327.87722319</v>
      </c>
      <c r="C116" s="47">
        <f t="shared" si="7"/>
        <v>8413146.5575444642</v>
      </c>
      <c r="D116" s="47">
        <f t="shared" si="9"/>
        <v>4396820.5282152798</v>
      </c>
      <c r="E116" s="46">
        <f t="shared" si="8"/>
        <v>12809967.085759744</v>
      </c>
      <c r="F116" s="47">
        <f t="shared" si="11"/>
        <v>416260507.3490079</v>
      </c>
    </row>
    <row r="117" spans="1:6" ht="15" x14ac:dyDescent="0.25">
      <c r="A117" s="49">
        <v>8</v>
      </c>
      <c r="B117" s="47">
        <f t="shared" si="10"/>
        <v>416260507.3490079</v>
      </c>
      <c r="C117" s="47">
        <f t="shared" si="7"/>
        <v>8325210.1469801581</v>
      </c>
      <c r="D117" s="47">
        <f t="shared" si="9"/>
        <v>4484756.938779586</v>
      </c>
      <c r="E117" s="46">
        <f t="shared" si="8"/>
        <v>12809967.085759744</v>
      </c>
      <c r="F117" s="47">
        <f t="shared" si="11"/>
        <v>411775750.41022831</v>
      </c>
    </row>
    <row r="118" spans="1:6" ht="15" x14ac:dyDescent="0.25">
      <c r="A118" s="49">
        <v>9</v>
      </c>
      <c r="B118" s="47">
        <f t="shared" si="10"/>
        <v>411775750.41022831</v>
      </c>
      <c r="C118" s="47">
        <f t="shared" si="7"/>
        <v>8235515.0082045663</v>
      </c>
      <c r="D118" s="47">
        <f t="shared" si="9"/>
        <v>4574452.0775551777</v>
      </c>
      <c r="E118" s="46">
        <f t="shared" si="8"/>
        <v>12809967.085759744</v>
      </c>
      <c r="F118" s="47">
        <f t="shared" si="11"/>
        <v>407201298.33267313</v>
      </c>
    </row>
    <row r="119" spans="1:6" ht="15" x14ac:dyDescent="0.25">
      <c r="A119" s="49">
        <v>10</v>
      </c>
      <c r="B119" s="47">
        <f t="shared" si="10"/>
        <v>407201298.33267313</v>
      </c>
      <c r="C119" s="47">
        <f t="shared" si="7"/>
        <v>8144025.9666534625</v>
      </c>
      <c r="D119" s="47">
        <f t="shared" si="9"/>
        <v>4665941.1191062815</v>
      </c>
      <c r="E119" s="46">
        <f t="shared" si="8"/>
        <v>12809967.085759744</v>
      </c>
      <c r="F119" s="47">
        <f t="shared" si="11"/>
        <v>402535357.21356684</v>
      </c>
    </row>
    <row r="120" spans="1:6" ht="15" x14ac:dyDescent="0.25">
      <c r="A120" s="49">
        <v>11</v>
      </c>
      <c r="B120" s="47">
        <f t="shared" si="10"/>
        <v>402535357.21356684</v>
      </c>
      <c r="C120" s="47">
        <f t="shared" si="7"/>
        <v>8050707.1442713365</v>
      </c>
      <c r="D120" s="47">
        <f t="shared" si="9"/>
        <v>4759259.9414884076</v>
      </c>
      <c r="E120" s="46">
        <f t="shared" si="8"/>
        <v>12809967.085759744</v>
      </c>
      <c r="F120" s="47">
        <f t="shared" si="11"/>
        <v>397776097.27207845</v>
      </c>
    </row>
    <row r="121" spans="1:6" ht="15" x14ac:dyDescent="0.25">
      <c r="A121" s="49">
        <v>12</v>
      </c>
      <c r="B121" s="47">
        <f t="shared" si="10"/>
        <v>397776097.27207845</v>
      </c>
      <c r="C121" s="47">
        <f t="shared" si="7"/>
        <v>7955521.9454415692</v>
      </c>
      <c r="D121" s="47">
        <f t="shared" si="9"/>
        <v>4854445.1403181748</v>
      </c>
      <c r="E121" s="46">
        <f t="shared" si="8"/>
        <v>12809967.085759744</v>
      </c>
      <c r="F121" s="47">
        <f t="shared" si="11"/>
        <v>392921652.1317603</v>
      </c>
    </row>
    <row r="122" spans="1:6" ht="15" x14ac:dyDescent="0.25">
      <c r="A122" s="49">
        <v>13</v>
      </c>
      <c r="B122" s="47">
        <f t="shared" si="10"/>
        <v>392921652.1317603</v>
      </c>
      <c r="C122" s="47">
        <f t="shared" si="7"/>
        <v>7858433.0426352061</v>
      </c>
      <c r="D122" s="47">
        <f t="shared" si="9"/>
        <v>4951534.0431245379</v>
      </c>
      <c r="E122" s="46">
        <f t="shared" si="8"/>
        <v>12809967.085759744</v>
      </c>
      <c r="F122" s="47">
        <f t="shared" si="11"/>
        <v>387970118.08863574</v>
      </c>
    </row>
    <row r="123" spans="1:6" ht="15" x14ac:dyDescent="0.25">
      <c r="A123" s="49">
        <v>14</v>
      </c>
      <c r="B123" s="47">
        <f t="shared" si="10"/>
        <v>387970118.08863574</v>
      </c>
      <c r="C123" s="47">
        <f t="shared" si="7"/>
        <v>7759402.3617727151</v>
      </c>
      <c r="D123" s="47">
        <f t="shared" si="9"/>
        <v>5050564.7239870289</v>
      </c>
      <c r="E123" s="46">
        <f t="shared" si="8"/>
        <v>12809967.085759744</v>
      </c>
      <c r="F123" s="47">
        <f t="shared" si="11"/>
        <v>382919553.3646487</v>
      </c>
    </row>
    <row r="124" spans="1:6" ht="15" x14ac:dyDescent="0.25">
      <c r="A124" s="49">
        <v>15</v>
      </c>
      <c r="B124" s="47">
        <f t="shared" si="10"/>
        <v>382919553.3646487</v>
      </c>
      <c r="C124" s="47">
        <f t="shared" si="7"/>
        <v>7658391.0672929743</v>
      </c>
      <c r="D124" s="47">
        <f t="shared" si="9"/>
        <v>5151576.0184667697</v>
      </c>
      <c r="E124" s="46">
        <f t="shared" si="8"/>
        <v>12809967.085759744</v>
      </c>
      <c r="F124" s="47">
        <f t="shared" si="11"/>
        <v>377767977.34618193</v>
      </c>
    </row>
    <row r="125" spans="1:6" ht="15" x14ac:dyDescent="0.25">
      <c r="A125" s="49">
        <v>16</v>
      </c>
      <c r="B125" s="47">
        <f t="shared" si="10"/>
        <v>377767977.34618193</v>
      </c>
      <c r="C125" s="47">
        <f t="shared" si="7"/>
        <v>7555359.5469236383</v>
      </c>
      <c r="D125" s="47">
        <f t="shared" si="9"/>
        <v>5254607.5388361057</v>
      </c>
      <c r="E125" s="46">
        <f t="shared" si="8"/>
        <v>12809967.085759744</v>
      </c>
      <c r="F125" s="47">
        <f t="shared" si="11"/>
        <v>372513369.80734581</v>
      </c>
    </row>
    <row r="126" spans="1:6" ht="15" x14ac:dyDescent="0.25">
      <c r="A126" s="49">
        <v>17</v>
      </c>
      <c r="B126" s="47">
        <f t="shared" si="10"/>
        <v>372513369.80734581</v>
      </c>
      <c r="C126" s="47">
        <f t="shared" si="7"/>
        <v>7450267.3961469159</v>
      </c>
      <c r="D126" s="47">
        <f t="shared" si="9"/>
        <v>5359699.6896128282</v>
      </c>
      <c r="E126" s="46">
        <f t="shared" si="8"/>
        <v>12809967.085759744</v>
      </c>
      <c r="F126" s="47">
        <f t="shared" si="11"/>
        <v>367153670.117733</v>
      </c>
    </row>
    <row r="127" spans="1:6" ht="15" x14ac:dyDescent="0.25">
      <c r="A127" s="49">
        <v>18</v>
      </c>
      <c r="B127" s="47">
        <f t="shared" si="10"/>
        <v>367153670.117733</v>
      </c>
      <c r="C127" s="47">
        <f t="shared" si="7"/>
        <v>7343073.4023546604</v>
      </c>
      <c r="D127" s="47">
        <f t="shared" si="9"/>
        <v>5466893.6834050836</v>
      </c>
      <c r="E127" s="46">
        <f t="shared" si="8"/>
        <v>12809967.085759744</v>
      </c>
      <c r="F127" s="47">
        <f t="shared" si="11"/>
        <v>361686776.4343279</v>
      </c>
    </row>
    <row r="128" spans="1:6" ht="15" x14ac:dyDescent="0.25">
      <c r="A128" s="49">
        <v>19</v>
      </c>
      <c r="B128" s="47">
        <f t="shared" si="10"/>
        <v>361686776.4343279</v>
      </c>
      <c r="C128" s="47">
        <f t="shared" si="7"/>
        <v>7233735.5286865579</v>
      </c>
      <c r="D128" s="47">
        <f t="shared" si="9"/>
        <v>5576231.5570731862</v>
      </c>
      <c r="E128" s="46">
        <f t="shared" si="8"/>
        <v>12809967.085759744</v>
      </c>
      <c r="F128" s="47">
        <f t="shared" si="11"/>
        <v>356110544.87725472</v>
      </c>
    </row>
    <row r="129" spans="1:6" ht="15" x14ac:dyDescent="0.25">
      <c r="A129" s="49">
        <v>20</v>
      </c>
      <c r="B129" s="47">
        <f t="shared" si="10"/>
        <v>356110544.87725472</v>
      </c>
      <c r="C129" s="47">
        <f t="shared" si="7"/>
        <v>7122210.8975450946</v>
      </c>
      <c r="D129" s="47">
        <f t="shared" si="9"/>
        <v>5687756.1882146494</v>
      </c>
      <c r="E129" s="46">
        <f t="shared" si="8"/>
        <v>12809967.085759744</v>
      </c>
      <c r="F129" s="47">
        <f t="shared" si="11"/>
        <v>350422788.68904006</v>
      </c>
    </row>
    <row r="130" spans="1:6" ht="15" x14ac:dyDescent="0.25">
      <c r="A130" s="49">
        <v>21</v>
      </c>
      <c r="B130" s="47">
        <f t="shared" si="10"/>
        <v>350422788.68904006</v>
      </c>
      <c r="C130" s="47">
        <f t="shared" si="7"/>
        <v>7008455.7737808013</v>
      </c>
      <c r="D130" s="47">
        <f t="shared" si="9"/>
        <v>5801511.3119789427</v>
      </c>
      <c r="E130" s="46">
        <f t="shared" si="8"/>
        <v>12809967.085759744</v>
      </c>
      <c r="F130" s="47">
        <f t="shared" si="11"/>
        <v>344621277.37706113</v>
      </c>
    </row>
    <row r="131" spans="1:6" ht="15" x14ac:dyDescent="0.25">
      <c r="A131" s="49">
        <v>22</v>
      </c>
      <c r="B131" s="47">
        <f t="shared" si="10"/>
        <v>344621277.37706113</v>
      </c>
      <c r="C131" s="47">
        <f t="shared" si="7"/>
        <v>6892425.5475412225</v>
      </c>
      <c r="D131" s="47">
        <f t="shared" si="9"/>
        <v>5917541.5382185215</v>
      </c>
      <c r="E131" s="46">
        <f t="shared" si="8"/>
        <v>12809967.085759744</v>
      </c>
      <c r="F131" s="47">
        <f t="shared" si="11"/>
        <v>338703735.83884263</v>
      </c>
    </row>
    <row r="132" spans="1:6" ht="15" x14ac:dyDescent="0.25">
      <c r="A132" s="49">
        <v>23</v>
      </c>
      <c r="B132" s="47">
        <f t="shared" si="10"/>
        <v>338703735.83884263</v>
      </c>
      <c r="C132" s="47">
        <f t="shared" si="7"/>
        <v>6774074.7167768525</v>
      </c>
      <c r="D132" s="47">
        <f t="shared" si="9"/>
        <v>6035892.3689828916</v>
      </c>
      <c r="E132" s="46">
        <f t="shared" si="8"/>
        <v>12809967.085759744</v>
      </c>
      <c r="F132" s="47">
        <f t="shared" si="11"/>
        <v>332667843.46985972</v>
      </c>
    </row>
    <row r="133" spans="1:6" ht="15" x14ac:dyDescent="0.25">
      <c r="A133" s="49">
        <v>24</v>
      </c>
      <c r="B133" s="47">
        <f t="shared" si="10"/>
        <v>332667843.46985972</v>
      </c>
      <c r="C133" s="47">
        <f t="shared" si="7"/>
        <v>6653356.8693971941</v>
      </c>
      <c r="D133" s="47">
        <f t="shared" si="9"/>
        <v>6156610.2163625499</v>
      </c>
      <c r="E133" s="46">
        <f t="shared" si="8"/>
        <v>12809967.085759744</v>
      </c>
      <c r="F133" s="47">
        <f t="shared" si="11"/>
        <v>326511233.25349718</v>
      </c>
    </row>
    <row r="134" spans="1:6" ht="15" x14ac:dyDescent="0.25">
      <c r="A134" s="49">
        <v>25</v>
      </c>
      <c r="B134" s="47">
        <f t="shared" si="10"/>
        <v>326511233.25349718</v>
      </c>
      <c r="C134" s="47">
        <f t="shared" si="7"/>
        <v>6530224.6650699442</v>
      </c>
      <c r="D134" s="47">
        <f t="shared" si="9"/>
        <v>6279742.4206897998</v>
      </c>
      <c r="E134" s="46">
        <f t="shared" si="8"/>
        <v>12809967.085759744</v>
      </c>
      <c r="F134" s="47">
        <f t="shared" si="11"/>
        <v>320231490.83280736</v>
      </c>
    </row>
    <row r="135" spans="1:6" ht="15" x14ac:dyDescent="0.25">
      <c r="A135" s="49">
        <v>26</v>
      </c>
      <c r="B135" s="47">
        <f t="shared" si="10"/>
        <v>320231490.83280736</v>
      </c>
      <c r="C135" s="47">
        <f t="shared" si="7"/>
        <v>6404629.8166561471</v>
      </c>
      <c r="D135" s="47">
        <f t="shared" si="9"/>
        <v>6405337.2691035969</v>
      </c>
      <c r="E135" s="46">
        <f t="shared" si="8"/>
        <v>12809967.085759744</v>
      </c>
      <c r="F135" s="47">
        <f t="shared" si="11"/>
        <v>313826153.56370378</v>
      </c>
    </row>
    <row r="136" spans="1:6" ht="15" x14ac:dyDescent="0.25">
      <c r="A136" s="49">
        <v>27</v>
      </c>
      <c r="B136" s="47">
        <f t="shared" si="10"/>
        <v>313826153.56370378</v>
      </c>
      <c r="C136" s="47">
        <f t="shared" si="7"/>
        <v>6276523.0712740757</v>
      </c>
      <c r="D136" s="47">
        <f t="shared" si="9"/>
        <v>6533444.0144856684</v>
      </c>
      <c r="E136" s="46">
        <f t="shared" si="8"/>
        <v>12809967.085759744</v>
      </c>
      <c r="F136" s="47">
        <f t="shared" si="11"/>
        <v>307292709.54921812</v>
      </c>
    </row>
    <row r="137" spans="1:6" ht="15" x14ac:dyDescent="0.25">
      <c r="A137" s="49">
        <v>28</v>
      </c>
      <c r="B137" s="47">
        <f t="shared" si="10"/>
        <v>307292709.54921812</v>
      </c>
      <c r="C137" s="47">
        <f t="shared" si="7"/>
        <v>6145854.1909843627</v>
      </c>
      <c r="D137" s="47">
        <f t="shared" si="9"/>
        <v>6664112.8947753813</v>
      </c>
      <c r="E137" s="46">
        <f t="shared" si="8"/>
        <v>12809967.085759744</v>
      </c>
      <c r="F137" s="47">
        <f t="shared" si="11"/>
        <v>300628596.65444273</v>
      </c>
    </row>
    <row r="138" spans="1:6" ht="15" x14ac:dyDescent="0.25">
      <c r="A138" s="49">
        <v>29</v>
      </c>
      <c r="B138" s="47">
        <f t="shared" si="10"/>
        <v>300628596.65444273</v>
      </c>
      <c r="C138" s="47">
        <f t="shared" si="7"/>
        <v>6012571.9330888549</v>
      </c>
      <c r="D138" s="47">
        <f t="shared" si="9"/>
        <v>6797395.1526708892</v>
      </c>
      <c r="E138" s="46">
        <f t="shared" si="8"/>
        <v>12809967.085759744</v>
      </c>
      <c r="F138" s="47">
        <f t="shared" si="11"/>
        <v>293831201.50177187</v>
      </c>
    </row>
    <row r="139" spans="1:6" ht="15" x14ac:dyDescent="0.25">
      <c r="A139" s="49">
        <v>30</v>
      </c>
      <c r="B139" s="47">
        <f t="shared" si="10"/>
        <v>293831201.50177187</v>
      </c>
      <c r="C139" s="47">
        <f t="shared" si="7"/>
        <v>5876624.0300354371</v>
      </c>
      <c r="D139" s="47">
        <f t="shared" si="9"/>
        <v>6933343.055724307</v>
      </c>
      <c r="E139" s="46">
        <f t="shared" si="8"/>
        <v>12809967.085759744</v>
      </c>
      <c r="F139" s="47">
        <f t="shared" si="11"/>
        <v>286897858.44604754</v>
      </c>
    </row>
    <row r="140" spans="1:6" ht="15" x14ac:dyDescent="0.25">
      <c r="A140" s="49">
        <v>31</v>
      </c>
      <c r="B140" s="47">
        <f t="shared" si="10"/>
        <v>286897858.44604754</v>
      </c>
      <c r="C140" s="47">
        <f t="shared" si="7"/>
        <v>5737957.168920951</v>
      </c>
      <c r="D140" s="47">
        <f t="shared" si="9"/>
        <v>7072009.9168387931</v>
      </c>
      <c r="E140" s="46">
        <f t="shared" si="8"/>
        <v>12809967.085759744</v>
      </c>
      <c r="F140" s="47">
        <f t="shared" si="11"/>
        <v>279825848.52920878</v>
      </c>
    </row>
    <row r="141" spans="1:6" ht="15" x14ac:dyDescent="0.25">
      <c r="A141" s="49">
        <v>32</v>
      </c>
      <c r="B141" s="47">
        <f t="shared" si="10"/>
        <v>279825848.52920878</v>
      </c>
      <c r="C141" s="47">
        <f t="shared" si="7"/>
        <v>5596516.9705841755</v>
      </c>
      <c r="D141" s="47">
        <f t="shared" si="9"/>
        <v>7213450.1151755685</v>
      </c>
      <c r="E141" s="46">
        <f t="shared" si="8"/>
        <v>12809967.085759744</v>
      </c>
      <c r="F141" s="47">
        <f t="shared" si="11"/>
        <v>272612398.41403323</v>
      </c>
    </row>
    <row r="142" spans="1:6" ht="15" x14ac:dyDescent="0.25">
      <c r="A142" s="49">
        <v>33</v>
      </c>
      <c r="B142" s="47">
        <f t="shared" si="10"/>
        <v>272612398.41403323</v>
      </c>
      <c r="C142" s="47">
        <f t="shared" ref="C142:C169" si="12">+B142*$B$103</f>
        <v>5452247.9682806646</v>
      </c>
      <c r="D142" s="47">
        <f t="shared" si="9"/>
        <v>7357719.1174790794</v>
      </c>
      <c r="E142" s="46">
        <f t="shared" ref="E142:E169" si="13">+$B$104</f>
        <v>12809967.085759744</v>
      </c>
      <c r="F142" s="47">
        <f t="shared" si="11"/>
        <v>265254679.29655415</v>
      </c>
    </row>
    <row r="143" spans="1:6" ht="15" x14ac:dyDescent="0.25">
      <c r="A143" s="49">
        <v>34</v>
      </c>
      <c r="B143" s="47">
        <f t="shared" si="10"/>
        <v>265254679.29655415</v>
      </c>
      <c r="C143" s="47">
        <f t="shared" si="12"/>
        <v>5305093.5859310832</v>
      </c>
      <c r="D143" s="47">
        <f t="shared" si="9"/>
        <v>7504873.4998286609</v>
      </c>
      <c r="E143" s="46">
        <f t="shared" si="13"/>
        <v>12809967.085759744</v>
      </c>
      <c r="F143" s="47">
        <f t="shared" si="11"/>
        <v>257749805.79672548</v>
      </c>
    </row>
    <row r="144" spans="1:6" ht="15" x14ac:dyDescent="0.25">
      <c r="A144" s="49">
        <v>35</v>
      </c>
      <c r="B144" s="47">
        <f t="shared" si="10"/>
        <v>257749805.79672548</v>
      </c>
      <c r="C144" s="47">
        <f t="shared" si="12"/>
        <v>5154996.1159345098</v>
      </c>
      <c r="D144" s="47">
        <f t="shared" si="9"/>
        <v>7654970.9698252343</v>
      </c>
      <c r="E144" s="46">
        <f t="shared" si="13"/>
        <v>12809967.085759744</v>
      </c>
      <c r="F144" s="47">
        <f t="shared" si="11"/>
        <v>250094834.82690024</v>
      </c>
    </row>
    <row r="145" spans="1:6" ht="15" x14ac:dyDescent="0.25">
      <c r="A145" s="49">
        <v>36</v>
      </c>
      <c r="B145" s="47">
        <f t="shared" si="10"/>
        <v>250094834.82690024</v>
      </c>
      <c r="C145" s="47">
        <f t="shared" si="12"/>
        <v>5001896.696538005</v>
      </c>
      <c r="D145" s="47">
        <f t="shared" si="9"/>
        <v>7808070.389221739</v>
      </c>
      <c r="E145" s="46">
        <f t="shared" si="13"/>
        <v>12809967.085759744</v>
      </c>
      <c r="F145" s="47">
        <f t="shared" si="11"/>
        <v>242286764.43767852</v>
      </c>
    </row>
    <row r="146" spans="1:6" ht="15" x14ac:dyDescent="0.25">
      <c r="A146" s="49">
        <v>37</v>
      </c>
      <c r="B146" s="47">
        <f t="shared" si="10"/>
        <v>242286764.43767852</v>
      </c>
      <c r="C146" s="47">
        <f t="shared" si="12"/>
        <v>4845735.2887535701</v>
      </c>
      <c r="D146" s="47">
        <f t="shared" si="9"/>
        <v>7964231.797006174</v>
      </c>
      <c r="E146" s="46">
        <f t="shared" si="13"/>
        <v>12809967.085759744</v>
      </c>
      <c r="F146" s="47">
        <f t="shared" si="11"/>
        <v>234322532.64067236</v>
      </c>
    </row>
    <row r="147" spans="1:6" ht="15" x14ac:dyDescent="0.25">
      <c r="A147" s="49">
        <v>38</v>
      </c>
      <c r="B147" s="47">
        <f t="shared" si="10"/>
        <v>234322532.64067236</v>
      </c>
      <c r="C147" s="47">
        <f t="shared" si="12"/>
        <v>4686450.6528134476</v>
      </c>
      <c r="D147" s="47">
        <f t="shared" si="9"/>
        <v>8123516.4329462964</v>
      </c>
      <c r="E147" s="46">
        <f t="shared" si="13"/>
        <v>12809967.085759744</v>
      </c>
      <c r="F147" s="47">
        <f t="shared" si="11"/>
        <v>226199016.20772606</v>
      </c>
    </row>
    <row r="148" spans="1:6" ht="15" x14ac:dyDescent="0.25">
      <c r="A148" s="49">
        <v>39</v>
      </c>
      <c r="B148" s="47">
        <f t="shared" si="10"/>
        <v>226199016.20772606</v>
      </c>
      <c r="C148" s="47">
        <f t="shared" si="12"/>
        <v>4523980.3241545213</v>
      </c>
      <c r="D148" s="47">
        <f t="shared" si="9"/>
        <v>8285986.7616052227</v>
      </c>
      <c r="E148" s="46">
        <f t="shared" si="13"/>
        <v>12809967.085759744</v>
      </c>
      <c r="F148" s="47">
        <f t="shared" si="11"/>
        <v>217913029.44612083</v>
      </c>
    </row>
    <row r="149" spans="1:6" ht="15" x14ac:dyDescent="0.25">
      <c r="A149" s="49">
        <v>40</v>
      </c>
      <c r="B149" s="47">
        <f t="shared" si="10"/>
        <v>217913029.44612083</v>
      </c>
      <c r="C149" s="47">
        <f t="shared" si="12"/>
        <v>4358260.5889224168</v>
      </c>
      <c r="D149" s="47">
        <f t="shared" si="9"/>
        <v>8451706.4968373273</v>
      </c>
      <c r="E149" s="46">
        <f t="shared" si="13"/>
        <v>12809967.085759744</v>
      </c>
      <c r="F149" s="47">
        <f t="shared" si="11"/>
        <v>209461322.94928351</v>
      </c>
    </row>
    <row r="150" spans="1:6" ht="15" x14ac:dyDescent="0.25">
      <c r="A150" s="49">
        <v>41</v>
      </c>
      <c r="B150" s="47">
        <f t="shared" si="10"/>
        <v>209461322.94928351</v>
      </c>
      <c r="C150" s="47">
        <f t="shared" si="12"/>
        <v>4189226.4589856705</v>
      </c>
      <c r="D150" s="47">
        <f t="shared" si="9"/>
        <v>8620740.6267740726</v>
      </c>
      <c r="E150" s="46">
        <f t="shared" si="13"/>
        <v>12809967.085759744</v>
      </c>
      <c r="F150" s="47">
        <f t="shared" si="11"/>
        <v>200840582.32250944</v>
      </c>
    </row>
    <row r="151" spans="1:6" ht="15" x14ac:dyDescent="0.25">
      <c r="A151" s="49">
        <v>42</v>
      </c>
      <c r="B151" s="47">
        <f t="shared" si="10"/>
        <v>200840582.32250944</v>
      </c>
      <c r="C151" s="47">
        <f t="shared" si="12"/>
        <v>4016811.6464501889</v>
      </c>
      <c r="D151" s="47">
        <f t="shared" si="9"/>
        <v>8793155.439309556</v>
      </c>
      <c r="E151" s="46">
        <f t="shared" si="13"/>
        <v>12809967.085759744</v>
      </c>
      <c r="F151" s="47">
        <f t="shared" si="11"/>
        <v>192047426.88319987</v>
      </c>
    </row>
    <row r="152" spans="1:6" ht="15" x14ac:dyDescent="0.25">
      <c r="A152" s="49">
        <v>43</v>
      </c>
      <c r="B152" s="47">
        <f t="shared" si="10"/>
        <v>192047426.88319987</v>
      </c>
      <c r="C152" s="47">
        <f t="shared" si="12"/>
        <v>3840948.5376639976</v>
      </c>
      <c r="D152" s="47">
        <f t="shared" si="9"/>
        <v>8969018.548095746</v>
      </c>
      <c r="E152" s="46">
        <f t="shared" si="13"/>
        <v>12809967.085759744</v>
      </c>
      <c r="F152" s="47">
        <f t="shared" si="11"/>
        <v>183078408.33510414</v>
      </c>
    </row>
    <row r="153" spans="1:6" ht="15" x14ac:dyDescent="0.25">
      <c r="A153" s="49">
        <v>44</v>
      </c>
      <c r="B153" s="47">
        <f t="shared" si="10"/>
        <v>183078408.33510414</v>
      </c>
      <c r="C153" s="47">
        <f t="shared" si="12"/>
        <v>3661568.1667020828</v>
      </c>
      <c r="D153" s="47">
        <f t="shared" si="9"/>
        <v>9148398.9190576617</v>
      </c>
      <c r="E153" s="46">
        <f t="shared" si="13"/>
        <v>12809967.085759744</v>
      </c>
      <c r="F153" s="47">
        <f t="shared" si="11"/>
        <v>173930009.41604647</v>
      </c>
    </row>
    <row r="154" spans="1:6" ht="15" x14ac:dyDescent="0.25">
      <c r="A154" s="49">
        <v>45</v>
      </c>
      <c r="B154" s="47">
        <f t="shared" si="10"/>
        <v>173930009.41604647</v>
      </c>
      <c r="C154" s="47">
        <f t="shared" si="12"/>
        <v>3478600.1883209297</v>
      </c>
      <c r="D154" s="47">
        <f t="shared" si="9"/>
        <v>9331366.8974388149</v>
      </c>
      <c r="E154" s="46">
        <f t="shared" si="13"/>
        <v>12809967.085759744</v>
      </c>
      <c r="F154" s="47">
        <f t="shared" si="11"/>
        <v>164598642.51860765</v>
      </c>
    </row>
    <row r="155" spans="1:6" ht="15" x14ac:dyDescent="0.25">
      <c r="A155" s="49">
        <v>46</v>
      </c>
      <c r="B155" s="47">
        <f t="shared" si="10"/>
        <v>164598642.51860765</v>
      </c>
      <c r="C155" s="47">
        <f t="shared" si="12"/>
        <v>3291972.8503721529</v>
      </c>
      <c r="D155" s="47">
        <f t="shared" si="9"/>
        <v>9517994.2353875916</v>
      </c>
      <c r="E155" s="46">
        <f t="shared" si="13"/>
        <v>12809967.085759744</v>
      </c>
      <c r="F155" s="47">
        <f t="shared" si="11"/>
        <v>155080648.28322005</v>
      </c>
    </row>
    <row r="156" spans="1:6" ht="15" x14ac:dyDescent="0.25">
      <c r="A156" s="49">
        <v>47</v>
      </c>
      <c r="B156" s="47">
        <f t="shared" si="10"/>
        <v>155080648.28322005</v>
      </c>
      <c r="C156" s="47">
        <f t="shared" si="12"/>
        <v>3101612.9656644012</v>
      </c>
      <c r="D156" s="47">
        <f t="shared" si="9"/>
        <v>9708354.1200953424</v>
      </c>
      <c r="E156" s="46">
        <f t="shared" si="13"/>
        <v>12809967.085759744</v>
      </c>
      <c r="F156" s="47">
        <f t="shared" si="11"/>
        <v>145372294.16312471</v>
      </c>
    </row>
    <row r="157" spans="1:6" ht="15" x14ac:dyDescent="0.25">
      <c r="A157" s="49">
        <v>48</v>
      </c>
      <c r="B157" s="47">
        <f t="shared" si="10"/>
        <v>145372294.16312471</v>
      </c>
      <c r="C157" s="47">
        <f t="shared" si="12"/>
        <v>2907445.8832624941</v>
      </c>
      <c r="D157" s="47">
        <f t="shared" si="9"/>
        <v>9902521.2024972495</v>
      </c>
      <c r="E157" s="46">
        <f t="shared" si="13"/>
        <v>12809967.085759744</v>
      </c>
      <c r="F157" s="47">
        <f t="shared" si="11"/>
        <v>135469772.96062747</v>
      </c>
    </row>
    <row r="158" spans="1:6" ht="15" x14ac:dyDescent="0.25">
      <c r="A158" s="49">
        <v>49</v>
      </c>
      <c r="B158" s="47">
        <f t="shared" si="10"/>
        <v>135469772.96062747</v>
      </c>
      <c r="C158" s="47">
        <f t="shared" si="12"/>
        <v>2709395.4592125495</v>
      </c>
      <c r="D158" s="47">
        <f t="shared" si="9"/>
        <v>10100571.626547195</v>
      </c>
      <c r="E158" s="46">
        <f t="shared" si="13"/>
        <v>12809967.085759744</v>
      </c>
      <c r="F158" s="47">
        <f t="shared" si="11"/>
        <v>125369201.33408028</v>
      </c>
    </row>
    <row r="159" spans="1:6" ht="15" x14ac:dyDescent="0.25">
      <c r="A159" s="49">
        <v>50</v>
      </c>
      <c r="B159" s="47">
        <f t="shared" si="10"/>
        <v>125369201.33408028</v>
      </c>
      <c r="C159" s="47">
        <f t="shared" si="12"/>
        <v>2507384.0266816057</v>
      </c>
      <c r="D159" s="47">
        <f t="shared" si="9"/>
        <v>10302583.059078138</v>
      </c>
      <c r="E159" s="46">
        <f t="shared" si="13"/>
        <v>12809967.085759744</v>
      </c>
      <c r="F159" s="47">
        <f t="shared" si="11"/>
        <v>115066618.27500214</v>
      </c>
    </row>
    <row r="160" spans="1:6" ht="15" x14ac:dyDescent="0.25">
      <c r="A160" s="49">
        <v>51</v>
      </c>
      <c r="B160" s="47">
        <f t="shared" si="10"/>
        <v>115066618.27500214</v>
      </c>
      <c r="C160" s="47">
        <f t="shared" si="12"/>
        <v>2301332.3655000427</v>
      </c>
      <c r="D160" s="47">
        <f t="shared" si="9"/>
        <v>10508634.720259702</v>
      </c>
      <c r="E160" s="46">
        <f t="shared" si="13"/>
        <v>12809967.085759744</v>
      </c>
      <c r="F160" s="47">
        <f t="shared" si="11"/>
        <v>104557983.55474244</v>
      </c>
    </row>
    <row r="161" spans="1:6" ht="15" x14ac:dyDescent="0.25">
      <c r="A161" s="49">
        <v>52</v>
      </c>
      <c r="B161" s="47">
        <f t="shared" si="10"/>
        <v>104557983.55474244</v>
      </c>
      <c r="C161" s="47">
        <f t="shared" si="12"/>
        <v>2091159.6710948488</v>
      </c>
      <c r="D161" s="47">
        <f t="shared" si="9"/>
        <v>10718807.414664894</v>
      </c>
      <c r="E161" s="46">
        <f t="shared" si="13"/>
        <v>12809967.085759744</v>
      </c>
      <c r="F161" s="47">
        <f t="shared" si="11"/>
        <v>93839176.140077546</v>
      </c>
    </row>
    <row r="162" spans="1:6" ht="15" x14ac:dyDescent="0.25">
      <c r="A162" s="49">
        <v>53</v>
      </c>
      <c r="B162" s="47">
        <f t="shared" si="10"/>
        <v>93839176.140077546</v>
      </c>
      <c r="C162" s="47">
        <f t="shared" si="12"/>
        <v>1876783.522801551</v>
      </c>
      <c r="D162" s="47">
        <f t="shared" si="9"/>
        <v>10933183.562958192</v>
      </c>
      <c r="E162" s="46">
        <f t="shared" si="13"/>
        <v>12809967.085759744</v>
      </c>
      <c r="F162" s="47">
        <f t="shared" si="11"/>
        <v>82905992.57711935</v>
      </c>
    </row>
    <row r="163" spans="1:6" ht="15" x14ac:dyDescent="0.25">
      <c r="A163" s="49">
        <v>54</v>
      </c>
      <c r="B163" s="47">
        <f t="shared" si="10"/>
        <v>82905992.57711935</v>
      </c>
      <c r="C163" s="47">
        <f t="shared" si="12"/>
        <v>1658119.8515423872</v>
      </c>
      <c r="D163" s="47">
        <f t="shared" si="9"/>
        <v>11151847.234217357</v>
      </c>
      <c r="E163" s="46">
        <f t="shared" si="13"/>
        <v>12809967.085759744</v>
      </c>
      <c r="F163" s="47">
        <f t="shared" si="11"/>
        <v>71754145.34290199</v>
      </c>
    </row>
    <row r="164" spans="1:6" ht="15" x14ac:dyDescent="0.25">
      <c r="A164" s="49">
        <v>55</v>
      </c>
      <c r="B164" s="47">
        <f t="shared" si="10"/>
        <v>71754145.34290199</v>
      </c>
      <c r="C164" s="47">
        <f t="shared" si="12"/>
        <v>1435082.9068580398</v>
      </c>
      <c r="D164" s="47">
        <f t="shared" si="9"/>
        <v>11374884.178901704</v>
      </c>
      <c r="E164" s="46">
        <f t="shared" si="13"/>
        <v>12809967.085759744</v>
      </c>
      <c r="F164" s="47">
        <f t="shared" si="11"/>
        <v>60379261.164000288</v>
      </c>
    </row>
    <row r="165" spans="1:6" ht="15" x14ac:dyDescent="0.25">
      <c r="A165" s="49">
        <v>56</v>
      </c>
      <c r="B165" s="47">
        <f t="shared" si="10"/>
        <v>60379261.164000288</v>
      </c>
      <c r="C165" s="47">
        <f t="shared" si="12"/>
        <v>1207585.2232800059</v>
      </c>
      <c r="D165" s="47">
        <f t="shared" si="9"/>
        <v>11602381.862479739</v>
      </c>
      <c r="E165" s="46">
        <f t="shared" si="13"/>
        <v>12809967.085759744</v>
      </c>
      <c r="F165" s="47">
        <f t="shared" si="11"/>
        <v>48776879.301520549</v>
      </c>
    </row>
    <row r="166" spans="1:6" ht="15" x14ac:dyDescent="0.25">
      <c r="A166" s="49">
        <v>57</v>
      </c>
      <c r="B166" s="47">
        <f t="shared" si="10"/>
        <v>48776879.301520549</v>
      </c>
      <c r="C166" s="47">
        <f t="shared" si="12"/>
        <v>975537.58603041095</v>
      </c>
      <c r="D166" s="47">
        <f t="shared" si="9"/>
        <v>11834429.499729333</v>
      </c>
      <c r="E166" s="46">
        <f t="shared" si="13"/>
        <v>12809967.085759744</v>
      </c>
      <c r="F166" s="47">
        <f t="shared" si="11"/>
        <v>36942449.801791213</v>
      </c>
    </row>
    <row r="167" spans="1:6" ht="15" x14ac:dyDescent="0.25">
      <c r="A167" s="49">
        <v>58</v>
      </c>
      <c r="B167" s="47">
        <f t="shared" si="10"/>
        <v>36942449.801791213</v>
      </c>
      <c r="C167" s="47">
        <f t="shared" si="12"/>
        <v>738848.9960358243</v>
      </c>
      <c r="D167" s="47">
        <f t="shared" si="9"/>
        <v>12071118.08972392</v>
      </c>
      <c r="E167" s="46">
        <f t="shared" si="13"/>
        <v>12809967.085759744</v>
      </c>
      <c r="F167" s="47">
        <f t="shared" si="11"/>
        <v>24871331.712067291</v>
      </c>
    </row>
    <row r="168" spans="1:6" ht="15" x14ac:dyDescent="0.25">
      <c r="A168" s="49">
        <v>59</v>
      </c>
      <c r="B168" s="47">
        <f t="shared" si="10"/>
        <v>24871331.712067291</v>
      </c>
      <c r="C168" s="47">
        <f t="shared" si="12"/>
        <v>497426.6342413458</v>
      </c>
      <c r="D168" s="47">
        <f t="shared" si="9"/>
        <v>12312540.451518398</v>
      </c>
      <c r="E168" s="46">
        <f t="shared" si="13"/>
        <v>12809967.085759744</v>
      </c>
      <c r="F168" s="47">
        <f t="shared" si="11"/>
        <v>12558791.260548893</v>
      </c>
    </row>
    <row r="169" spans="1:6" ht="15" x14ac:dyDescent="0.25">
      <c r="A169" s="49">
        <v>60</v>
      </c>
      <c r="B169" s="47">
        <f t="shared" si="10"/>
        <v>12558791.260548893</v>
      </c>
      <c r="C169" s="47">
        <f t="shared" si="12"/>
        <v>251175.82521097787</v>
      </c>
      <c r="D169" s="47">
        <f t="shared" si="9"/>
        <v>12558791.260548767</v>
      </c>
      <c r="E169" s="46">
        <f t="shared" si="13"/>
        <v>12809967.085759744</v>
      </c>
      <c r="F169" s="47">
        <f t="shared" si="11"/>
        <v>1.2665987014770508E-7</v>
      </c>
    </row>
    <row r="170" spans="1:6" ht="15" x14ac:dyDescent="0.25">
      <c r="A170" s="49"/>
      <c r="B170" s="47"/>
      <c r="C170" s="50">
        <f>SUM(C110:C169)</f>
        <v>323312210.94079483</v>
      </c>
      <c r="D170" s="47"/>
      <c r="E170" s="47"/>
      <c r="F170" s="47"/>
    </row>
  </sheetData>
  <mergeCells count="7">
    <mergeCell ref="A108:F108"/>
    <mergeCell ref="A17:H17"/>
    <mergeCell ref="A21:H21"/>
    <mergeCell ref="A25:H25"/>
    <mergeCell ref="A30:H30"/>
    <mergeCell ref="A36:H36"/>
    <mergeCell ref="A42:H42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94CCC-F41C-4A4B-A040-26F884CD7BA6}">
  <dimension ref="A1:H91"/>
  <sheetViews>
    <sheetView showGridLines="0" tabSelected="1" topLeftCell="A72" workbookViewId="0">
      <selection activeCell="K95" sqref="K95"/>
    </sheetView>
  </sheetViews>
  <sheetFormatPr baseColWidth="10" defaultRowHeight="12.75" x14ac:dyDescent="0.2"/>
  <cols>
    <col min="1" max="1" width="59.42578125" bestFit="1" customWidth="1"/>
    <col min="2" max="8" width="14.7109375" customWidth="1"/>
  </cols>
  <sheetData>
    <row r="1" spans="1:8" ht="15.75" x14ac:dyDescent="0.2">
      <c r="B1" s="1" t="s">
        <v>8</v>
      </c>
      <c r="C1" s="1" t="s">
        <v>207</v>
      </c>
      <c r="D1" s="1" t="s">
        <v>208</v>
      </c>
      <c r="E1" s="1" t="s">
        <v>209</v>
      </c>
      <c r="F1" s="1" t="s">
        <v>210</v>
      </c>
      <c r="G1" s="1" t="s">
        <v>211</v>
      </c>
      <c r="H1" s="1" t="s">
        <v>212</v>
      </c>
    </row>
    <row r="2" spans="1:8" x14ac:dyDescent="0.2">
      <c r="A2" s="86" t="s">
        <v>198</v>
      </c>
      <c r="B2" s="17">
        <f>+'Proyecciones EF'!B96/'Proyecciones EF'!B91</f>
        <v>0.9202793444059485</v>
      </c>
      <c r="C2" s="17">
        <f>+'Proyecciones EF'!C96/'Proyecciones EF'!C91</f>
        <v>1</v>
      </c>
      <c r="D2" s="17">
        <f>+'Proyecciones EF'!D96/'Proyecciones EF'!D91</f>
        <v>1</v>
      </c>
      <c r="E2" s="17">
        <f>+'Proyecciones EF'!E96/'Proyecciones EF'!E91</f>
        <v>1</v>
      </c>
      <c r="F2" s="17">
        <f>+'Proyecciones EF'!F96/'Proyecciones EF'!F91</f>
        <v>1</v>
      </c>
      <c r="G2" s="17">
        <f>+'Proyecciones EF'!G96/'Proyecciones EF'!G91</f>
        <v>1</v>
      </c>
      <c r="H2" s="17">
        <f>+'Proyecciones EF'!H96/'Proyecciones EF'!H91</f>
        <v>1</v>
      </c>
    </row>
    <row r="3" spans="1:8" x14ac:dyDescent="0.2">
      <c r="A3" s="86" t="s">
        <v>199</v>
      </c>
      <c r="B3" s="17">
        <f>+'Proyecciones EF'!B156/'Proyecciones EF'!B91</f>
        <v>6.2727533844184891E-2</v>
      </c>
      <c r="C3" s="17">
        <f>+'Proyecciones EF'!C156/'Proyecciones EF'!C91</f>
        <v>3.3036524969754302E-2</v>
      </c>
      <c r="D3" s="17">
        <f>+'Proyecciones EF'!D156/'Proyecciones EF'!D91</f>
        <v>0.39373630717585834</v>
      </c>
      <c r="E3" s="17">
        <f>+'Proyecciones EF'!E156/'Proyecciones EF'!E91</f>
        <v>0.448219537772723</v>
      </c>
      <c r="F3" s="17">
        <f>+'Proyecciones EF'!F156/'Proyecciones EF'!F91</f>
        <v>0.43399148491865597</v>
      </c>
      <c r="G3" s="17">
        <f>+'Proyecciones EF'!G156/'Proyecciones EF'!G91</f>
        <v>0.40974641924822969</v>
      </c>
      <c r="H3" s="17">
        <f>+'Proyecciones EF'!H156/'Proyecciones EF'!H91</f>
        <v>0.31197391400779995</v>
      </c>
    </row>
    <row r="4" spans="1:8" x14ac:dyDescent="0.2">
      <c r="A4" s="132" t="s">
        <v>163</v>
      </c>
      <c r="B4" s="2">
        <f>+'Proyecciones EF'!B156-'Proyecciones EF'!B134</f>
        <v>15102243.879999995</v>
      </c>
      <c r="C4" s="2">
        <f>+'Proyecciones EF'!C156-'Proyecciones EF'!C134</f>
        <v>48246446.82</v>
      </c>
      <c r="D4" s="2">
        <f>+'Proyecciones EF'!D156-'Proyecciones EF'!D134</f>
        <v>415328518.45556754</v>
      </c>
      <c r="E4" s="2">
        <f>+'Proyecciones EF'!E156-'Proyecciones EF'!E134</f>
        <v>557641400.55698061</v>
      </c>
      <c r="F4" s="2">
        <f>+'Proyecciones EF'!F156-'Proyecciones EF'!F134</f>
        <v>741763110.91063833</v>
      </c>
      <c r="G4" s="2">
        <f>+'Proyecciones EF'!G156-'Proyecciones EF'!G134</f>
        <v>894714432.71930981</v>
      </c>
      <c r="H4" s="2">
        <f>+'Proyecciones EF'!H156-'Proyecciones EF'!H134</f>
        <v>922319742.33115196</v>
      </c>
    </row>
    <row r="5" spans="1:8" x14ac:dyDescent="0.2">
      <c r="A5" s="86" t="s">
        <v>310</v>
      </c>
      <c r="B5" s="17">
        <f>+B4/'Proyecciones EF'!B91</f>
        <v>6.4945822310471746E-2</v>
      </c>
      <c r="C5" s="17">
        <f>+C4/'Proyecciones EF'!C91</f>
        <v>9.8409235374261342E-2</v>
      </c>
      <c r="D5" s="17">
        <f>+D4/'Proyecciones EF'!D91</f>
        <v>0.42666062464616983</v>
      </c>
      <c r="E5" s="17">
        <f>+E4/'Proyecciones EF'!E91</f>
        <v>0.47555134665612331</v>
      </c>
      <c r="F5" s="17">
        <f>+F4/'Proyecciones EF'!F91</f>
        <v>0.47442645839386333</v>
      </c>
      <c r="G5" s="17">
        <f>+G4/'Proyecciones EF'!G91</f>
        <v>0.44090009087298881</v>
      </c>
      <c r="H5" s="17">
        <f>+H4/'Proyecciones EF'!H91</f>
        <v>0.35451274485203071</v>
      </c>
    </row>
    <row r="6" spans="1:8" x14ac:dyDescent="0.2">
      <c r="A6" s="86" t="s">
        <v>200</v>
      </c>
      <c r="B6" s="17">
        <f>+'Proyecciones EF'!B167/'Proyecciones EF'!B91</f>
        <v>4.0774072072520463E-2</v>
      </c>
      <c r="C6" s="17">
        <f>+'Proyecciones EF'!C167/'Proyecciones EF'!C91</f>
        <v>2.148128180641052E-2</v>
      </c>
      <c r="D6" s="17">
        <f>+'Proyecciones EF'!D167/'Proyecciones EF'!D91</f>
        <v>0.25592859966430792</v>
      </c>
      <c r="E6" s="17">
        <f>+'Proyecciones EF'!E167/'Proyecciones EF'!E91</f>
        <v>0.29134269955226993</v>
      </c>
      <c r="F6" s="17">
        <f>+'Proyecciones EF'!F167/'Proyecciones EF'!F91</f>
        <v>0.28209446519712639</v>
      </c>
      <c r="G6" s="17">
        <f>+'Proyecciones EF'!G167/'Proyecciones EF'!G91</f>
        <v>0.24960501338211205</v>
      </c>
      <c r="H6" s="17">
        <f>+'Proyecciones EF'!H167/'Proyecciones EF'!H91</f>
        <v>0.19050982328689631</v>
      </c>
    </row>
    <row r="7" spans="1:8" x14ac:dyDescent="0.2">
      <c r="A7" s="86" t="s">
        <v>173</v>
      </c>
      <c r="B7" s="17">
        <f>+B8/B9</f>
        <v>1.2601580248497921E-2</v>
      </c>
      <c r="C7" s="17">
        <f>+C8/C9</f>
        <v>1.4123937341975642E-2</v>
      </c>
      <c r="D7" s="17">
        <f>+D8/D9</f>
        <v>0.46969343934083024</v>
      </c>
      <c r="E7" s="17">
        <f t="shared" ref="E7:H7" si="0">+E8/E9</f>
        <v>0.65024805118147999</v>
      </c>
      <c r="F7" s="17">
        <f t="shared" si="0"/>
        <v>0.45776516813927642</v>
      </c>
      <c r="G7" s="17">
        <f t="shared" si="0"/>
        <v>0.54801288138127757</v>
      </c>
      <c r="H7" s="17">
        <f t="shared" si="0"/>
        <v>0.31310785311491685</v>
      </c>
    </row>
    <row r="8" spans="1:8" x14ac:dyDescent="0.2">
      <c r="A8" s="86" t="s">
        <v>311</v>
      </c>
      <c r="B8" s="2">
        <f>+'Proyecciones EF'!B156*(1-Supuestos!$B$9)</f>
        <v>9481167.7219999973</v>
      </c>
      <c r="C8" s="2">
        <f>+'Proyecciones EF'!C156*(1-Supuestos!$B$9)</f>
        <v>10527789.494104998</v>
      </c>
      <c r="D8" s="2">
        <f>+'Proyecciones EF'!D156*(1-Supuestos!$B$9)</f>
        <v>249131136.05722392</v>
      </c>
      <c r="E8" s="2">
        <f>+'Proyecciones EF'!E156*(1-Supuestos!$B$9)</f>
        <v>341634509.42314243</v>
      </c>
      <c r="F8" s="2">
        <f>+'Proyecciones EF'!F156*(1-Supuestos!$B$9)</f>
        <v>441053116.60670203</v>
      </c>
      <c r="G8" s="2">
        <f>+'Proyecciones EF'!G156*(1-Supuestos!$B$9)</f>
        <v>540471475.7823385</v>
      </c>
      <c r="H8" s="2">
        <f>+'Proyecciones EF'!H156*(1-Supuestos!$B$9)</f>
        <v>527571456.0450545</v>
      </c>
    </row>
    <row r="9" spans="1:8" x14ac:dyDescent="0.2">
      <c r="A9" s="86" t="s">
        <v>392</v>
      </c>
      <c r="B9" s="2">
        <f>+B10+B11</f>
        <v>752379267.91999996</v>
      </c>
      <c r="C9" s="2">
        <f t="shared" ref="C9:H9" si="1">+C10+C11</f>
        <v>745386306.89170003</v>
      </c>
      <c r="D9" s="2">
        <f t="shared" si="1"/>
        <v>530412211.86068857</v>
      </c>
      <c r="E9" s="2">
        <f>+E10+E11</f>
        <v>525391054.69428694</v>
      </c>
      <c r="F9" s="2">
        <f t="shared" si="1"/>
        <v>963492085.68990612</v>
      </c>
      <c r="G9" s="2">
        <f t="shared" si="1"/>
        <v>986238634.42784262</v>
      </c>
      <c r="H9" s="2">
        <f t="shared" si="1"/>
        <v>1684951210.2509458</v>
      </c>
    </row>
    <row r="10" spans="1:8" x14ac:dyDescent="0.2">
      <c r="A10" s="86" t="s">
        <v>312</v>
      </c>
      <c r="B10" s="2">
        <f>+'Proyecciones EF'!B9+'Proyecciones EF'!B14-'Proyecciones EF'!B34</f>
        <v>295040134.22999996</v>
      </c>
      <c r="C10" s="2">
        <f>+'Proyecciones EF'!C9+'Proyecciones EF'!C14-'Proyecciones EF'!C34</f>
        <v>320097020.79999995</v>
      </c>
      <c r="D10" s="2">
        <f>+'Proyecciones EF'!D9+'Proyecciones EF'!D14-'Proyecciones EF'!D34</f>
        <v>137172773.36728862</v>
      </c>
      <c r="E10" s="2">
        <f>+'Proyecciones EF'!E9+'Proyecciones EF'!E14-'Proyecciones EF'!E34</f>
        <v>164201463.79918694</v>
      </c>
      <c r="F10" s="2">
        <f>+'Proyecciones EF'!F9+'Proyecciones EF'!F14-'Proyecciones EF'!F34</f>
        <v>220236535.18265152</v>
      </c>
      <c r="G10" s="2">
        <f>+'Proyecciones EF'!G9+'Proyecciones EF'!G14-'Proyecciones EF'!G34</f>
        <v>306202938.51322329</v>
      </c>
      <c r="H10" s="2">
        <f>+'Proyecciones EF'!H9+'Proyecciones EF'!H14-'Proyecciones EF'!H34</f>
        <v>437708379.56560749</v>
      </c>
    </row>
    <row r="11" spans="1:8" x14ac:dyDescent="0.2">
      <c r="A11" s="86" t="s">
        <v>313</v>
      </c>
      <c r="B11" s="2">
        <f>+'Proyecciones EF'!B23</f>
        <v>457339133.69</v>
      </c>
      <c r="C11" s="2">
        <f>+'Proyecciones EF'!C23</f>
        <v>425289286.09170002</v>
      </c>
      <c r="D11" s="2">
        <f>+'Proyecciones EF'!D23</f>
        <v>393239438.49339998</v>
      </c>
      <c r="E11" s="2">
        <f>+'Proyecciones EF'!E23</f>
        <v>361189590.8951</v>
      </c>
      <c r="F11" s="2">
        <f>+'Proyecciones EF'!F23</f>
        <v>743255550.5072546</v>
      </c>
      <c r="G11" s="2">
        <f>+'Proyecciones EF'!G23</f>
        <v>680035695.91461933</v>
      </c>
      <c r="H11" s="2">
        <f>+'Proyecciones EF'!H23</f>
        <v>1247242830.6853383</v>
      </c>
    </row>
    <row r="12" spans="1:8" x14ac:dyDescent="0.2">
      <c r="A12" s="132" t="s">
        <v>314</v>
      </c>
      <c r="B12" s="30">
        <f>+'Proyecciones EF'!B21/-'Proyecciones EF'!B65</f>
        <v>0.15891397196125989</v>
      </c>
      <c r="C12" s="30">
        <f>+'Proyecciones EF'!C21/-'Proyecciones EF'!C65</f>
        <v>0.46546557905252428</v>
      </c>
      <c r="D12" s="30">
        <f>+'Proyecciones EF'!D21/-'Proyecciones EF'!D65</f>
        <v>1.602646954367509</v>
      </c>
      <c r="E12" s="30">
        <f>+'Proyecciones EF'!E21/-'Proyecciones EF'!E65</f>
        <v>2.7822025527164365</v>
      </c>
      <c r="F12" s="30">
        <f>+'Proyecciones EF'!F21/-'Proyecciones EF'!F65</f>
        <v>3.7360205702956346</v>
      </c>
      <c r="G12" s="30">
        <f>+'Proyecciones EF'!G21/-'Proyecciones EF'!G65</f>
        <v>4.3647806860129421</v>
      </c>
      <c r="H12" s="30">
        <f>+'Proyecciones EF'!H21/-'Proyecciones EF'!H65</f>
        <v>4.8570200091925573</v>
      </c>
    </row>
    <row r="13" spans="1:8" x14ac:dyDescent="0.2">
      <c r="A13" s="132" t="s">
        <v>315</v>
      </c>
      <c r="B13" s="30">
        <f>+('Proyecciones EF'!B21-'Proyecciones EF'!B14)/-'Proyecciones EF'!B65</f>
        <v>0.13764188728053936</v>
      </c>
      <c r="C13" s="30">
        <f>+('Proyecciones EF'!C21-'Proyecciones EF'!C14)/-'Proyecciones EF'!C65</f>
        <v>0.44253099229524645</v>
      </c>
      <c r="D13" s="30">
        <f>+('Proyecciones EF'!D21-'Proyecciones EF'!D14)/-'Proyecciones EF'!D65</f>
        <v>1.5725447349336776</v>
      </c>
      <c r="E13" s="30">
        <f>+('Proyecciones EF'!E21-'Proyecciones EF'!E14)/-'Proyecciones EF'!E65</f>
        <v>2.7596933514065571</v>
      </c>
      <c r="F13" s="30">
        <f>+('Proyecciones EF'!F21-'Proyecciones EF'!F14)/-'Proyecciones EF'!F65</f>
        <v>3.7189459823932549</v>
      </c>
      <c r="G13" s="30">
        <f>+('Proyecciones EF'!G21-'Proyecciones EF'!G14)/-'Proyecciones EF'!G65</f>
        <v>4.3512099866561753</v>
      </c>
      <c r="H13" s="30">
        <f>+('Proyecciones EF'!H21-'Proyecciones EF'!H14)/-'Proyecciones EF'!H65</f>
        <v>4.8457092198459009</v>
      </c>
    </row>
    <row r="14" spans="1:8" x14ac:dyDescent="0.2">
      <c r="A14" s="86" t="s">
        <v>316</v>
      </c>
      <c r="B14" s="17">
        <f>+'Proyecciones EF'!B67/'Proyecciones EF'!B85</f>
        <v>5.6046020064119635E-2</v>
      </c>
      <c r="C14" s="17">
        <f>+'Proyecciones EF'!C67/'Proyecciones EF'!C85</f>
        <v>0.32571197181669864</v>
      </c>
      <c r="D14" s="17">
        <f>+'Proyecciones EF'!D67/'Proyecciones EF'!D85</f>
        <v>0.11795495111038304</v>
      </c>
      <c r="E14" s="17">
        <f>+'Proyecciones EF'!E67/'Proyecciones EF'!E85</f>
        <v>4.9092454035945976E-2</v>
      </c>
      <c r="F14" s="17">
        <f>+'Proyecciones EF'!F67/'Proyecciones EF'!F85</f>
        <v>0.37790253220734127</v>
      </c>
      <c r="G14" s="17">
        <f>+'Proyecciones EF'!G67/'Proyecciones EF'!G85</f>
        <v>0.24814933470514908</v>
      </c>
      <c r="H14" s="17">
        <f>+'Proyecciones EF'!H67/'Proyecciones EF'!H85</f>
        <v>0.47668228596181467</v>
      </c>
    </row>
    <row r="15" spans="1:8" x14ac:dyDescent="0.2">
      <c r="A15" s="86" t="s">
        <v>317</v>
      </c>
      <c r="B15" s="30">
        <f>+(-'Proyecciones EF'!B67+'Proyecciones EF'!B5)/'Indicadores Proyectados'!B4</f>
        <v>2.7963178680968306</v>
      </c>
      <c r="C15" s="30">
        <f>+(-'Proyecciones EF'!C67+'Proyecciones EF'!C5)/'Indicadores Proyectados'!C4</f>
        <v>2.8231917769649342</v>
      </c>
      <c r="D15" s="30">
        <f>+(-'Proyecciones EF'!D67+'Proyecciones EF'!D5)/'Indicadores Proyectados'!D4</f>
        <v>0.72306076437180911</v>
      </c>
      <c r="E15" s="30">
        <f>+(-'Proyecciones EF'!E67+'Proyecciones EF'!E5)/'Indicadores Proyectados'!E4</f>
        <v>1.2442199289292433</v>
      </c>
      <c r="F15" s="30">
        <f>+(-'Proyecciones EF'!F67+'Proyecciones EF'!F5)/'Indicadores Proyectados'!F4</f>
        <v>2.2538852976443846</v>
      </c>
      <c r="G15" s="30">
        <f>+(-'Proyecciones EF'!G67+'Proyecciones EF'!G5)/'Indicadores Proyectados'!G4</f>
        <v>2.4817776330945622</v>
      </c>
      <c r="H15" s="30">
        <f>+(-'Proyecciones EF'!H67+'Proyecciones EF'!H5)/'Indicadores Proyectados'!H4</f>
        <v>3.7580394000323185</v>
      </c>
    </row>
    <row r="16" spans="1:8" x14ac:dyDescent="0.2">
      <c r="A16" s="86" t="s">
        <v>318</v>
      </c>
      <c r="B16" s="17">
        <f>+'Proyecciones EF'!B67/'Proyecciones EF'!B85</f>
        <v>5.6046020064119635E-2</v>
      </c>
      <c r="C16" s="17">
        <f>+'Proyecciones EF'!C67/'Proyecciones EF'!C85</f>
        <v>0.32571197181669864</v>
      </c>
      <c r="D16" s="17">
        <f>+'Proyecciones EF'!D67/'Proyecciones EF'!D85</f>
        <v>0.11795495111038304</v>
      </c>
      <c r="E16" s="17">
        <f>+'Proyecciones EF'!E67/'Proyecciones EF'!E85</f>
        <v>4.9092454035945976E-2</v>
      </c>
      <c r="F16" s="17">
        <f>+'Proyecciones EF'!F67/'Proyecciones EF'!F85</f>
        <v>0.37790253220734127</v>
      </c>
      <c r="G16" s="17">
        <f>+'Proyecciones EF'!G67/'Proyecciones EF'!G85</f>
        <v>0.24814933470514908</v>
      </c>
      <c r="H16" s="17">
        <f>+'Proyecciones EF'!H67/'Proyecciones EF'!H85</f>
        <v>0.47668228596181467</v>
      </c>
    </row>
    <row r="17" spans="1:8" x14ac:dyDescent="0.2">
      <c r="A17" s="86" t="s">
        <v>319</v>
      </c>
      <c r="B17" s="71">
        <f>100%-B16</f>
        <v>0.94395397993588037</v>
      </c>
      <c r="C17" s="71">
        <f t="shared" ref="C17:H17" si="2">100%-C16</f>
        <v>0.67428802818330136</v>
      </c>
      <c r="D17" s="71">
        <f t="shared" si="2"/>
        <v>0.88204504888961699</v>
      </c>
      <c r="E17" s="71">
        <f t="shared" si="2"/>
        <v>0.95090754596405402</v>
      </c>
      <c r="F17" s="71">
        <f t="shared" si="2"/>
        <v>0.62209746779265873</v>
      </c>
      <c r="G17" s="71">
        <f t="shared" si="2"/>
        <v>0.7518506652948509</v>
      </c>
      <c r="H17" s="71">
        <f t="shared" si="2"/>
        <v>0.52331771403818528</v>
      </c>
    </row>
    <row r="18" spans="1:8" x14ac:dyDescent="0.2">
      <c r="A18" s="86" t="s">
        <v>320</v>
      </c>
      <c r="B18" s="73">
        <f>+IF(IFERROR(+B4/-'Proyecciones EF'!B158,"N/A")&lt;0,0,(IFERROR(+B4/-'Proyecciones EF'!B158,"N/A")))</f>
        <v>0</v>
      </c>
      <c r="C18" s="73">
        <f>+IF(IFERROR(+C4/-'Proyecciones EF'!C158,"N/A")&lt;0,0,(IFERROR(+C4/-'Proyecciones EF'!C158,"N/A")))</f>
        <v>0</v>
      </c>
      <c r="D18" s="73" t="str">
        <f>+IF(IFERROR(+D4/-'Proyecciones EF'!D158,"N/A")&lt;0,0,(IFERROR(+D4/-'Proyecciones EF'!D158,"N/A")))</f>
        <v>N/A</v>
      </c>
      <c r="E18" s="73" t="str">
        <f>+IF(IFERROR(+E4/-'Proyecciones EF'!E158,"N/A")&lt;0,0,(IFERROR(+E4/-'Proyecciones EF'!E158,"N/A")))</f>
        <v>N/A</v>
      </c>
      <c r="F18" s="73" t="str">
        <f>+IF(IFERROR(+F4/-'Proyecciones EF'!F158,"N/A")&lt;0,0,(IFERROR(+F4/-'Proyecciones EF'!F158,"N/A")))</f>
        <v>N/A</v>
      </c>
      <c r="G18" s="73">
        <f>+IF(IFERROR(+G4/-'Proyecciones EF'!G158,"N/A")&lt;0,0,(IFERROR(+G4/-'Proyecciones EF'!G158,"N/A")))</f>
        <v>17.129846575494483</v>
      </c>
      <c r="H18" s="73">
        <f>+IF(IFERROR(+H4/-'Proyecciones EF'!H158,"N/A")&lt;0,0,(IFERROR(+H4/-'Proyecciones EF'!H158,"N/A")))</f>
        <v>18.775290330685166</v>
      </c>
    </row>
    <row r="19" spans="1:8" x14ac:dyDescent="0.2">
      <c r="A19" s="70" t="s">
        <v>180</v>
      </c>
      <c r="B19" s="72">
        <f>360/'Indices Financieros 2024'!$C$8</f>
        <v>21.330821432967007</v>
      </c>
      <c r="C19" s="72">
        <f>360/'Indices Financieros 2024'!$C$8</f>
        <v>21.330821432967007</v>
      </c>
      <c r="D19" s="72">
        <f>360/'Indices Financieros 2024'!$C$8</f>
        <v>21.330821432967007</v>
      </c>
      <c r="E19" s="72">
        <f>360/'Indices Financieros 2024'!$C$8</f>
        <v>21.330821432967007</v>
      </c>
      <c r="F19" s="72">
        <f>360/'Indices Financieros 2024'!$C$8</f>
        <v>21.330821432967007</v>
      </c>
      <c r="G19" s="72">
        <f>360/'Indices Financieros 2024'!$C$8</f>
        <v>21.330821432967007</v>
      </c>
      <c r="H19" s="72">
        <f>360/'Indices Financieros 2024'!$C$8</f>
        <v>21.330821432967007</v>
      </c>
    </row>
    <row r="20" spans="1:8" x14ac:dyDescent="0.2">
      <c r="A20" s="70" t="s">
        <v>184</v>
      </c>
      <c r="B20" s="72">
        <f>360/'Indices Financieros 2024'!$C$12</f>
        <v>76.367871663148463</v>
      </c>
      <c r="C20" s="72">
        <f>360/'Indices Financieros 2024'!$C$12</f>
        <v>76.367871663148463</v>
      </c>
      <c r="D20" s="72">
        <f>360/'Indices Financieros 2024'!$C$12</f>
        <v>76.367871663148463</v>
      </c>
      <c r="E20" s="72">
        <f>360/'Indices Financieros 2024'!$C$12</f>
        <v>76.367871663148463</v>
      </c>
      <c r="F20" s="72">
        <f>360/'Indices Financieros 2024'!$C$12</f>
        <v>76.367871663148463</v>
      </c>
      <c r="G20" s="72">
        <f>360/'Indices Financieros 2024'!$C$12</f>
        <v>76.367871663148463</v>
      </c>
      <c r="H20" s="72">
        <f>360/'Indices Financieros 2024'!$C$12</f>
        <v>76.367871663148463</v>
      </c>
    </row>
    <row r="21" spans="1:8" x14ac:dyDescent="0.2">
      <c r="A21" s="132" t="s">
        <v>182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8" x14ac:dyDescent="0.2">
      <c r="A22" s="70" t="s">
        <v>321</v>
      </c>
      <c r="B22" s="72">
        <f>+B19-B20+B21</f>
        <v>-55.037050230181457</v>
      </c>
      <c r="C22" s="72">
        <f t="shared" ref="C22:H22" si="3">+C19-C20+C21</f>
        <v>-55.037050230181457</v>
      </c>
      <c r="D22" s="72">
        <f t="shared" si="3"/>
        <v>-55.037050230181457</v>
      </c>
      <c r="E22" s="72">
        <f t="shared" si="3"/>
        <v>-55.037050230181457</v>
      </c>
      <c r="F22" s="72">
        <f t="shared" si="3"/>
        <v>-55.037050230181457</v>
      </c>
      <c r="G22" s="72">
        <f t="shared" si="3"/>
        <v>-55.037050230181457</v>
      </c>
      <c r="H22" s="72">
        <f t="shared" si="3"/>
        <v>-55.037050230181457</v>
      </c>
    </row>
    <row r="23" spans="1:8" x14ac:dyDescent="0.2">
      <c r="A23" s="86" t="s">
        <v>391</v>
      </c>
      <c r="B23" s="2">
        <f>+B8-('Estimación WACC'!$B$67*'Indicadores Proyectados'!B9)</f>
        <v>-124628842.32351612</v>
      </c>
      <c r="C23" s="2">
        <f>+C8-('Estimación WACC'!$B$67*'Indicadores Proyectados'!C9)</f>
        <v>-122335740.06777699</v>
      </c>
      <c r="D23" s="2">
        <f>+D8-('Estimación WACC'!$B$67*'Indicadores Proyectados'!D9)</f>
        <v>154586283.35606608</v>
      </c>
      <c r="E23" s="2">
        <f>+E8-('Estimación WACC'!$B$67*'Indicadores Proyectados'!E9)</f>
        <v>247984667.34593207</v>
      </c>
      <c r="F23" s="2">
        <f>+F8-('Estimación WACC'!$B$67*'Indicadores Proyectados'!F9)</f>
        <v>269312694.18933713</v>
      </c>
      <c r="G23" s="2">
        <f>+G8-('Estimación WACC'!$B$67*'Indicadores Proyectados'!G9)</f>
        <v>364676529.25749928</v>
      </c>
      <c r="H23" s="2">
        <f>+H8-('Estimación WACC'!$B$67*'Indicadores Proyectados'!H9)</f>
        <v>227232473.60915619</v>
      </c>
    </row>
    <row r="24" spans="1:8" x14ac:dyDescent="0.2">
      <c r="A24" s="86" t="s">
        <v>393</v>
      </c>
      <c r="B24" s="36">
        <f>+RATE(7,,B23,H23)</f>
        <v>8.9593610677712224E-2</v>
      </c>
    </row>
    <row r="35" spans="2:2" x14ac:dyDescent="0.2">
      <c r="B35" s="2"/>
    </row>
    <row r="72" spans="1:8" x14ac:dyDescent="0.2">
      <c r="A72" s="157"/>
      <c r="B72" s="157"/>
      <c r="C72" s="157"/>
      <c r="D72" s="157"/>
      <c r="E72" s="157"/>
      <c r="F72" s="157"/>
      <c r="G72" s="157"/>
      <c r="H72" s="157"/>
    </row>
    <row r="73" spans="1:8" ht="18.75" x14ac:dyDescent="0.3">
      <c r="A73" s="158" t="s">
        <v>395</v>
      </c>
      <c r="B73" s="158"/>
      <c r="C73" s="158"/>
      <c r="D73" s="158"/>
      <c r="E73" s="158"/>
      <c r="F73" s="158"/>
      <c r="G73" s="158"/>
      <c r="H73" s="158"/>
    </row>
    <row r="75" spans="1:8" ht="15.75" x14ac:dyDescent="0.25">
      <c r="A75" s="156" t="s">
        <v>396</v>
      </c>
      <c r="B75" s="156"/>
      <c r="C75" s="156"/>
      <c r="D75" s="156"/>
      <c r="E75" s="156"/>
      <c r="F75" s="156"/>
      <c r="G75" s="156"/>
      <c r="H75" s="156"/>
    </row>
    <row r="77" spans="1:8" x14ac:dyDescent="0.2">
      <c r="A77" s="86" t="s">
        <v>397</v>
      </c>
    </row>
    <row r="79" spans="1:8" x14ac:dyDescent="0.2">
      <c r="A79" s="52" t="s">
        <v>398</v>
      </c>
      <c r="D79" s="155">
        <v>6.56</v>
      </c>
    </row>
    <row r="80" spans="1:8" x14ac:dyDescent="0.2">
      <c r="A80" s="52" t="s">
        <v>399</v>
      </c>
      <c r="D80" s="155">
        <v>3.26</v>
      </c>
    </row>
    <row r="81" spans="1:8" x14ac:dyDescent="0.2">
      <c r="A81" s="52" t="s">
        <v>400</v>
      </c>
      <c r="D81" s="155">
        <v>6.72</v>
      </c>
    </row>
    <row r="82" spans="1:8" x14ac:dyDescent="0.2">
      <c r="A82" s="52" t="s">
        <v>401</v>
      </c>
      <c r="D82" s="155">
        <v>1.05</v>
      </c>
    </row>
    <row r="83" spans="1:8" x14ac:dyDescent="0.2">
      <c r="A83" s="52" t="s">
        <v>406</v>
      </c>
      <c r="D83" s="155">
        <v>3</v>
      </c>
    </row>
    <row r="85" spans="1:8" ht="15.75" x14ac:dyDescent="0.2">
      <c r="B85" s="1" t="s">
        <v>8</v>
      </c>
      <c r="C85" s="1" t="s">
        <v>207</v>
      </c>
      <c r="D85" s="1" t="s">
        <v>208</v>
      </c>
      <c r="E85" s="1" t="s">
        <v>209</v>
      </c>
      <c r="F85" s="1" t="s">
        <v>210</v>
      </c>
      <c r="G85" s="1" t="s">
        <v>211</v>
      </c>
      <c r="H85" s="1" t="s">
        <v>212</v>
      </c>
    </row>
    <row r="86" spans="1:8" x14ac:dyDescent="0.2">
      <c r="A86" s="52" t="s">
        <v>403</v>
      </c>
      <c r="B86">
        <f>+B10/B9</f>
        <v>0.39214282850410948</v>
      </c>
      <c r="C86" s="137">
        <f t="shared" ref="C86:H86" si="4">+C10/C9</f>
        <v>0.42943775306903786</v>
      </c>
      <c r="D86" s="137">
        <f t="shared" si="4"/>
        <v>0.25861541325771115</v>
      </c>
      <c r="E86" s="137">
        <f t="shared" si="4"/>
        <v>0.31253189853933089</v>
      </c>
      <c r="F86" s="137">
        <f t="shared" si="4"/>
        <v>0.22858157161192633</v>
      </c>
      <c r="G86" s="137">
        <f t="shared" si="4"/>
        <v>0.3104755054448502</v>
      </c>
      <c r="H86" s="137">
        <f t="shared" si="4"/>
        <v>0.25977510618863442</v>
      </c>
    </row>
    <row r="87" spans="1:8" x14ac:dyDescent="0.2">
      <c r="A87" s="52" t="s">
        <v>404</v>
      </c>
      <c r="B87">
        <f>-('Proyecciones EF'!B80+'Proyecciones EF'!B82)/B9</f>
        <v>1.2343285701736617E-2</v>
      </c>
      <c r="C87" s="137">
        <f>-('Proyecciones EF'!C80+'Proyecciones EF'!C82)/C9</f>
        <v>2.6587983223421992E-2</v>
      </c>
      <c r="D87" s="137">
        <f>-('Proyecciones EF'!D80+'Proyecciones EF'!D82)/D9</f>
        <v>0.50705743319210717</v>
      </c>
      <c r="E87" s="137">
        <f>-('Proyecciones EF'!E80+'Proyecciones EF'!E82)/E9</f>
        <v>1.1621514272987692</v>
      </c>
      <c r="F87" s="137">
        <f>-('Proyecciones EF'!F80+'Proyecciones EF'!F82)/F9</f>
        <v>1.0914849185882529</v>
      </c>
      <c r="G87" s="137">
        <f>-('Proyecciones EF'!G80+'Proyecciones EF'!G82)/G9</f>
        <v>1.5798997794021914</v>
      </c>
      <c r="H87" s="137">
        <f>-('Proyecciones EF'!H80+'Proyecciones EF'!H82)/H9</f>
        <v>1.2189070888941229</v>
      </c>
    </row>
    <row r="88" spans="1:8" x14ac:dyDescent="0.2">
      <c r="A88" s="52" t="s">
        <v>405</v>
      </c>
      <c r="B88">
        <f>+'Proyecciones EF'!B156/B9</f>
        <v>1.9387046536150646E-2</v>
      </c>
      <c r="C88" s="137">
        <f>+'Proyecciones EF'!C156/C9</f>
        <v>2.1729134372270219E-2</v>
      </c>
      <c r="D88" s="137">
        <f>+'Proyecciones EF'!D156/D9</f>
        <v>0.72260529129358497</v>
      </c>
      <c r="E88" s="137">
        <f>+'Proyecciones EF'!E156/E9</f>
        <v>1.0003816172022768</v>
      </c>
      <c r="F88" s="137">
        <f>+'Proyecciones EF'!F156/F9</f>
        <v>0.704254104829656</v>
      </c>
      <c r="G88" s="137">
        <f>+'Proyecciones EF'!G156/G9</f>
        <v>0.8430967405865808</v>
      </c>
      <c r="H88" s="137">
        <f>+'Proyecciones EF'!H156/H9</f>
        <v>0.48170438940756438</v>
      </c>
    </row>
    <row r="89" spans="1:8" x14ac:dyDescent="0.2">
      <c r="A89" s="52" t="s">
        <v>401</v>
      </c>
      <c r="B89">
        <f>+'Proyecciones EF'!B85/'Proyecciones EF'!B75</f>
        <v>0.70870221075167084</v>
      </c>
      <c r="C89" s="137">
        <f>+'Proyecciones EF'!C85/'Proyecciones EF'!C75</f>
        <v>0.656629994859529</v>
      </c>
      <c r="D89" s="137">
        <f>+'Proyecciones EF'!D85/'Proyecciones EF'!D75</f>
        <v>1.8315439121281265</v>
      </c>
      <c r="E89" s="137">
        <f>+'Proyecciones EF'!E85/'Proyecciones EF'!E75</f>
        <v>2.632453439445106</v>
      </c>
      <c r="F89" s="137">
        <f>+'Proyecciones EF'!F85/'Proyecciones EF'!F75</f>
        <v>1.5149854179530184</v>
      </c>
      <c r="G89" s="137">
        <f>+'Proyecciones EF'!G85/'Proyecciones EF'!G75</f>
        <v>1.9969757323518234</v>
      </c>
      <c r="H89" s="137">
        <f>+'Proyecciones EF'!H85/'Proyecciones EF'!H75</f>
        <v>1.4024679186044411</v>
      </c>
    </row>
    <row r="91" spans="1:8" ht="15.75" x14ac:dyDescent="0.25">
      <c r="A91" s="159" t="s">
        <v>402</v>
      </c>
      <c r="B91">
        <f>+$D$79*B86+$D$80*B87+$D$81*B88+$D$82*B89</f>
        <v>3.4871143403868059</v>
      </c>
      <c r="C91" s="137">
        <f t="shared" ref="C91:H91" si="5">+$D$79*C86+$D$80*C87+$D$81*C88+$D$82*C89</f>
        <v>3.7392697630254048</v>
      </c>
      <c r="D91" s="137">
        <f t="shared" si="5"/>
        <v>10.128553008404278</v>
      </c>
      <c r="E91" s="137">
        <f t="shared" si="5"/>
        <v>15.325463486428658</v>
      </c>
      <c r="F91" s="137">
        <f t="shared" si="5"/>
        <v>11.3810582176779</v>
      </c>
      <c r="G91" s="137">
        <f t="shared" si="5"/>
        <v>14.949627212280598</v>
      </c>
      <c r="H91" s="137">
        <f t="shared" si="5"/>
        <v>10.387406617745777</v>
      </c>
    </row>
  </sheetData>
  <mergeCells count="2">
    <mergeCell ref="A73:H73"/>
    <mergeCell ref="A75:H75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025D2-D7E0-4CDC-B5AF-4973D0B82792}">
  <dimension ref="A1:D67"/>
  <sheetViews>
    <sheetView showGridLines="0" workbookViewId="0">
      <selection activeCell="C45" sqref="C45"/>
    </sheetView>
  </sheetViews>
  <sheetFormatPr baseColWidth="10" defaultRowHeight="12.75" x14ac:dyDescent="0.2"/>
  <cols>
    <col min="1" max="1" width="28.85546875" bestFit="1" customWidth="1"/>
    <col min="2" max="2" width="12.28515625" bestFit="1" customWidth="1"/>
    <col min="3" max="3" width="21.42578125" customWidth="1"/>
  </cols>
  <sheetData>
    <row r="1" spans="1:4" ht="15" x14ac:dyDescent="0.25">
      <c r="A1" s="144" t="s">
        <v>326</v>
      </c>
      <c r="B1" s="145"/>
      <c r="C1" s="146"/>
      <c r="D1" s="69"/>
    </row>
    <row r="2" spans="1:4" x14ac:dyDescent="0.2">
      <c r="A2" s="69"/>
      <c r="B2" s="69"/>
      <c r="C2" s="69"/>
      <c r="D2" s="69"/>
    </row>
    <row r="3" spans="1:4" ht="15" x14ac:dyDescent="0.25">
      <c r="A3" s="147" t="s">
        <v>327</v>
      </c>
      <c r="B3" s="148"/>
      <c r="C3" s="149"/>
      <c r="D3" s="69"/>
    </row>
    <row r="4" spans="1:4" ht="15" x14ac:dyDescent="0.25">
      <c r="A4" s="87" t="s">
        <v>328</v>
      </c>
      <c r="B4" s="88" t="s">
        <v>329</v>
      </c>
      <c r="C4" s="89">
        <f>B31</f>
        <v>4.24E-2</v>
      </c>
      <c r="D4" s="69"/>
    </row>
    <row r="5" spans="1:4" ht="15" x14ac:dyDescent="0.25">
      <c r="A5" s="90" t="s">
        <v>330</v>
      </c>
      <c r="B5" s="88" t="s">
        <v>331</v>
      </c>
      <c r="C5" s="91">
        <f>B35</f>
        <v>0.95899733814305521</v>
      </c>
      <c r="D5" s="69"/>
    </row>
    <row r="6" spans="1:4" ht="15" x14ac:dyDescent="0.25">
      <c r="A6" s="90" t="s">
        <v>332</v>
      </c>
      <c r="B6" s="88" t="s">
        <v>333</v>
      </c>
      <c r="C6" s="91">
        <f>B38</f>
        <v>1.0347007368090853</v>
      </c>
      <c r="D6" s="69"/>
    </row>
    <row r="7" spans="1:4" ht="15" x14ac:dyDescent="0.25">
      <c r="A7" s="90" t="s">
        <v>334</v>
      </c>
      <c r="B7" s="88" t="s">
        <v>335</v>
      </c>
      <c r="C7" s="92">
        <f>B39*B38</f>
        <v>6.8678886793468258E-2</v>
      </c>
      <c r="D7" s="69"/>
    </row>
    <row r="8" spans="1:4" ht="15" x14ac:dyDescent="0.25">
      <c r="A8" s="90" t="s">
        <v>336</v>
      </c>
      <c r="B8" s="88" t="s">
        <v>337</v>
      </c>
      <c r="C8" s="93">
        <f>B40</f>
        <v>3.1584615384615385E-2</v>
      </c>
      <c r="D8" s="69"/>
    </row>
    <row r="9" spans="1:4" ht="15" x14ac:dyDescent="0.25">
      <c r="A9" s="90" t="s">
        <v>338</v>
      </c>
      <c r="B9" s="88"/>
      <c r="C9" s="94">
        <f>B42</f>
        <v>0.14266350217808363</v>
      </c>
      <c r="D9" s="69"/>
    </row>
    <row r="10" spans="1:4" ht="15" x14ac:dyDescent="0.25">
      <c r="A10" s="95" t="s">
        <v>339</v>
      </c>
      <c r="B10" s="88"/>
      <c r="C10" s="92">
        <f>B24</f>
        <v>0.26824179460000003</v>
      </c>
      <c r="D10" s="69"/>
    </row>
    <row r="11" spans="1:4" ht="15" x14ac:dyDescent="0.25">
      <c r="A11" s="90" t="s">
        <v>340</v>
      </c>
      <c r="B11" s="88" t="s">
        <v>341</v>
      </c>
      <c r="C11" s="92">
        <f>B23</f>
        <v>5.6046020064119635E-2</v>
      </c>
      <c r="D11" s="69"/>
    </row>
    <row r="12" spans="1:4" ht="15" x14ac:dyDescent="0.25">
      <c r="A12" s="90" t="s">
        <v>342</v>
      </c>
      <c r="B12" s="88" t="s">
        <v>343</v>
      </c>
      <c r="C12" s="92">
        <f>B22</f>
        <v>0.94395397993588037</v>
      </c>
      <c r="D12" s="69"/>
    </row>
    <row r="13" spans="1:4" ht="15" x14ac:dyDescent="0.25">
      <c r="A13" s="90" t="s">
        <v>344</v>
      </c>
      <c r="B13" s="88" t="s">
        <v>345</v>
      </c>
      <c r="C13" s="96">
        <f>B19</f>
        <v>0.35</v>
      </c>
      <c r="D13" s="69"/>
    </row>
    <row r="14" spans="1:4" ht="15" x14ac:dyDescent="0.25">
      <c r="A14" s="90" t="s">
        <v>346</v>
      </c>
      <c r="B14" s="88" t="s">
        <v>347</v>
      </c>
      <c r="C14" s="92">
        <f>B60</f>
        <v>3.581538461538461E-2</v>
      </c>
      <c r="D14" s="69"/>
    </row>
    <row r="15" spans="1:4" ht="15" x14ac:dyDescent="0.25">
      <c r="A15" s="97" t="s">
        <v>348</v>
      </c>
      <c r="B15" s="98" t="s">
        <v>349</v>
      </c>
      <c r="C15" s="99">
        <f>B67</f>
        <v>0.17824788077464138</v>
      </c>
      <c r="D15" s="69"/>
    </row>
    <row r="16" spans="1:4" x14ac:dyDescent="0.2">
      <c r="A16" s="69"/>
      <c r="B16" s="69"/>
      <c r="C16" s="69"/>
      <c r="D16" s="69"/>
    </row>
    <row r="17" spans="1:4" x14ac:dyDescent="0.2">
      <c r="A17" s="150" t="s">
        <v>350</v>
      </c>
      <c r="B17" s="151"/>
      <c r="C17" s="69"/>
      <c r="D17" s="69"/>
    </row>
    <row r="18" spans="1:4" ht="15" x14ac:dyDescent="0.25">
      <c r="A18" s="100" t="s">
        <v>351</v>
      </c>
      <c r="B18" s="15"/>
      <c r="C18" s="69"/>
      <c r="D18" s="69"/>
    </row>
    <row r="19" spans="1:4" x14ac:dyDescent="0.2">
      <c r="A19" s="69" t="s">
        <v>352</v>
      </c>
      <c r="B19" s="36">
        <v>0.35</v>
      </c>
      <c r="C19" s="69"/>
      <c r="D19" s="69"/>
    </row>
    <row r="20" spans="1:4" x14ac:dyDescent="0.2">
      <c r="A20" s="69" t="s">
        <v>353</v>
      </c>
      <c r="B20" s="101">
        <f>-'Proyecciones EF'!B84</f>
        <v>209286832.25999999</v>
      </c>
      <c r="C20" s="102"/>
      <c r="D20" s="69"/>
    </row>
    <row r="21" spans="1:4" x14ac:dyDescent="0.2">
      <c r="A21" s="69" t="s">
        <v>354</v>
      </c>
      <c r="B21" s="101">
        <f>-'Proyecciones EF'!B67</f>
        <v>11729694</v>
      </c>
      <c r="C21" s="101"/>
      <c r="D21" s="69"/>
    </row>
    <row r="22" spans="1:4" x14ac:dyDescent="0.2">
      <c r="A22" s="69" t="s">
        <v>355</v>
      </c>
      <c r="B22" s="17">
        <f>+'Indicadores Proyectados'!B17</f>
        <v>0.94395397993588037</v>
      </c>
      <c r="C22" s="131"/>
      <c r="D22" s="69"/>
    </row>
    <row r="23" spans="1:4" x14ac:dyDescent="0.2">
      <c r="A23" s="69" t="s">
        <v>356</v>
      </c>
      <c r="B23" s="17">
        <f>+'Indicadores Proyectados'!B16</f>
        <v>5.6046020064119635E-2</v>
      </c>
      <c r="C23" s="16"/>
      <c r="D23" s="69"/>
    </row>
    <row r="24" spans="1:4" ht="15" x14ac:dyDescent="0.25">
      <c r="A24" s="100" t="s">
        <v>357</v>
      </c>
      <c r="B24" s="103">
        <v>0.26824179460000003</v>
      </c>
      <c r="C24" s="11"/>
      <c r="D24" s="69"/>
    </row>
    <row r="25" spans="1:4" ht="15" x14ac:dyDescent="0.25">
      <c r="A25" s="69"/>
      <c r="B25" s="11"/>
      <c r="C25" s="104"/>
      <c r="D25" s="69"/>
    </row>
    <row r="26" spans="1:4" x14ac:dyDescent="0.2">
      <c r="A26" s="69"/>
      <c r="B26" s="69"/>
      <c r="C26" s="69"/>
      <c r="D26" s="69"/>
    </row>
    <row r="27" spans="1:4" ht="15" x14ac:dyDescent="0.25">
      <c r="A27" s="152" t="s">
        <v>358</v>
      </c>
      <c r="B27" s="153"/>
      <c r="C27" s="154"/>
      <c r="D27" s="69"/>
    </row>
    <row r="28" spans="1:4" x14ac:dyDescent="0.2">
      <c r="A28" s="105"/>
      <c r="B28" s="106"/>
      <c r="C28" s="107"/>
      <c r="D28" s="69"/>
    </row>
    <row r="29" spans="1:4" x14ac:dyDescent="0.2">
      <c r="A29" s="108"/>
      <c r="B29" s="109"/>
      <c r="C29" s="110"/>
      <c r="D29" s="69"/>
    </row>
    <row r="30" spans="1:4" x14ac:dyDescent="0.2">
      <c r="A30" s="111"/>
      <c r="B30" s="112"/>
      <c r="C30" s="113"/>
      <c r="D30" s="69"/>
    </row>
    <row r="31" spans="1:4" ht="15" x14ac:dyDescent="0.25">
      <c r="A31" s="69" t="s">
        <v>359</v>
      </c>
      <c r="B31" s="17">
        <v>4.24E-2</v>
      </c>
      <c r="C31" s="114" t="s">
        <v>360</v>
      </c>
      <c r="D31" s="104" t="s">
        <v>361</v>
      </c>
    </row>
    <row r="32" spans="1:4" ht="15" x14ac:dyDescent="0.25">
      <c r="A32" s="69" t="s">
        <v>362</v>
      </c>
      <c r="B32" s="69">
        <v>1.26</v>
      </c>
      <c r="C32" s="114" t="s">
        <v>390</v>
      </c>
      <c r="D32" s="69"/>
    </row>
    <row r="33" spans="1:4" ht="15" x14ac:dyDescent="0.25">
      <c r="A33" s="69" t="s">
        <v>363</v>
      </c>
      <c r="B33" s="11">
        <v>6.5299999999999997E-2</v>
      </c>
      <c r="C33" s="114" t="s">
        <v>364</v>
      </c>
      <c r="D33" s="104" t="s">
        <v>365</v>
      </c>
    </row>
    <row r="34" spans="1:4" ht="15" x14ac:dyDescent="0.25">
      <c r="A34" s="69" t="s">
        <v>366</v>
      </c>
      <c r="B34" s="11">
        <v>0.33579999999999999</v>
      </c>
      <c r="C34" s="114" t="s">
        <v>364</v>
      </c>
      <c r="D34" s="69"/>
    </row>
    <row r="35" spans="1:4" x14ac:dyDescent="0.2">
      <c r="A35" s="69" t="s">
        <v>367</v>
      </c>
      <c r="B35" s="30">
        <f>B32/(1+(1-B33)*B34)</f>
        <v>0.95899733814305521</v>
      </c>
      <c r="C35" s="115" t="s">
        <v>368</v>
      </c>
      <c r="D35" s="69"/>
    </row>
    <row r="36" spans="1:4" ht="15" x14ac:dyDescent="0.25">
      <c r="A36" s="69" t="s">
        <v>369</v>
      </c>
      <c r="B36" s="11">
        <v>3.9399999999999998E-2</v>
      </c>
      <c r="C36" s="114" t="s">
        <v>364</v>
      </c>
      <c r="D36" s="69"/>
    </row>
    <row r="37" spans="1:4" x14ac:dyDescent="0.2">
      <c r="A37" s="69" t="s">
        <v>370</v>
      </c>
      <c r="B37" s="30">
        <f>B35/(1-B36)</f>
        <v>0.99833160331361148</v>
      </c>
      <c r="C37" s="69"/>
      <c r="D37" s="69"/>
    </row>
    <row r="38" spans="1:4" x14ac:dyDescent="0.2">
      <c r="A38" s="69" t="s">
        <v>371</v>
      </c>
      <c r="B38" s="30">
        <f>B37*(1+(1-B19)*(B21/B20))</f>
        <v>1.0347007368090853</v>
      </c>
      <c r="C38" s="69"/>
      <c r="D38" s="69"/>
    </row>
    <row r="39" spans="1:4" ht="15" x14ac:dyDescent="0.25">
      <c r="A39" s="69" t="s">
        <v>372</v>
      </c>
      <c r="B39" s="11">
        <v>6.6375604414148914E-2</v>
      </c>
      <c r="C39" s="104" t="s">
        <v>373</v>
      </c>
      <c r="D39" s="69"/>
    </row>
    <row r="40" spans="1:4" x14ac:dyDescent="0.2">
      <c r="A40" s="69" t="s">
        <v>374</v>
      </c>
      <c r="B40" s="17">
        <f>D48-B31</f>
        <v>3.1584615384615385E-2</v>
      </c>
      <c r="C40" s="69"/>
      <c r="D40" s="69"/>
    </row>
    <row r="41" spans="1:4" x14ac:dyDescent="0.2">
      <c r="A41" s="69"/>
      <c r="B41" s="69"/>
      <c r="C41" s="69"/>
      <c r="D41" s="69"/>
    </row>
    <row r="42" spans="1:4" ht="15" x14ac:dyDescent="0.25">
      <c r="A42" s="116" t="s">
        <v>375</v>
      </c>
      <c r="B42" s="117">
        <f>B31+B38*(B39)+B40</f>
        <v>0.14266350217808363</v>
      </c>
      <c r="C42" s="69" t="s">
        <v>376</v>
      </c>
      <c r="D42" s="69"/>
    </row>
    <row r="43" spans="1:4" x14ac:dyDescent="0.2">
      <c r="A43" s="69"/>
      <c r="B43" s="69"/>
      <c r="C43" s="69"/>
      <c r="D43" s="69"/>
    </row>
    <row r="44" spans="1:4" ht="15" x14ac:dyDescent="0.25">
      <c r="A44" s="69" t="s">
        <v>377</v>
      </c>
      <c r="B44" s="123">
        <v>45473</v>
      </c>
      <c r="C44" s="69"/>
      <c r="D44" s="69"/>
    </row>
    <row r="45" spans="1:4" x14ac:dyDescent="0.2">
      <c r="A45" s="119" t="s">
        <v>378</v>
      </c>
      <c r="B45" s="69" t="s">
        <v>377</v>
      </c>
      <c r="C45" s="69" t="s">
        <v>379</v>
      </c>
      <c r="D45" s="69" t="s">
        <v>380</v>
      </c>
    </row>
    <row r="46" spans="1:4" x14ac:dyDescent="0.2">
      <c r="A46" s="69">
        <v>2024</v>
      </c>
      <c r="B46" s="118">
        <v>45473</v>
      </c>
      <c r="C46" s="69">
        <f>ROUND(((B46-$B$44)/365),0)</f>
        <v>0</v>
      </c>
      <c r="D46" s="11">
        <v>5.6669999999999998E-2</v>
      </c>
    </row>
    <row r="47" spans="1:4" x14ac:dyDescent="0.2">
      <c r="A47" s="69">
        <v>2037</v>
      </c>
      <c r="B47" s="118">
        <v>50337</v>
      </c>
      <c r="C47" s="69">
        <f>ROUND(((B47-$B$44)/365),0)</f>
        <v>13</v>
      </c>
      <c r="D47" s="15">
        <v>8.1680000000000003E-2</v>
      </c>
    </row>
    <row r="48" spans="1:4" x14ac:dyDescent="0.2">
      <c r="A48" s="69">
        <v>2033</v>
      </c>
      <c r="B48" s="118">
        <v>48716</v>
      </c>
      <c r="C48" s="120">
        <f>ROUND(((B48-$B$44)/365),0)</f>
        <v>9</v>
      </c>
      <c r="D48" s="121">
        <f>_xlfn.FORECAST.LINEAR(C48,D46:D47,C46:C47)</f>
        <v>7.3984615384615385E-2</v>
      </c>
    </row>
    <row r="49" spans="1:4" x14ac:dyDescent="0.2">
      <c r="A49" s="69"/>
      <c r="B49" s="118"/>
      <c r="C49" s="69"/>
      <c r="D49" s="15"/>
    </row>
    <row r="50" spans="1:4" ht="15" x14ac:dyDescent="0.25">
      <c r="A50" s="122" t="s">
        <v>377</v>
      </c>
      <c r="B50" s="123">
        <v>45503</v>
      </c>
      <c r="C50" s="122"/>
      <c r="D50" s="122"/>
    </row>
    <row r="51" spans="1:4" ht="15" x14ac:dyDescent="0.25">
      <c r="A51" s="119" t="s">
        <v>381</v>
      </c>
      <c r="B51" s="122" t="s">
        <v>382</v>
      </c>
      <c r="C51" s="122" t="s">
        <v>383</v>
      </c>
      <c r="D51" s="122" t="s">
        <v>380</v>
      </c>
    </row>
    <row r="52" spans="1:4" ht="15" x14ac:dyDescent="0.25">
      <c r="A52" s="122">
        <v>2032</v>
      </c>
      <c r="B52" s="123">
        <v>48395</v>
      </c>
      <c r="C52" s="122">
        <v>9</v>
      </c>
      <c r="D52" s="124">
        <v>0.109</v>
      </c>
    </row>
    <row r="53" spans="1:4" ht="15" x14ac:dyDescent="0.25">
      <c r="A53" s="122">
        <v>2034</v>
      </c>
      <c r="B53" s="123">
        <v>49241</v>
      </c>
      <c r="C53" s="122">
        <v>11</v>
      </c>
      <c r="D53" s="124">
        <v>0.1105</v>
      </c>
    </row>
    <row r="54" spans="1:4" ht="15" x14ac:dyDescent="0.25">
      <c r="A54" s="122">
        <v>2033</v>
      </c>
      <c r="B54" s="123">
        <v>48715</v>
      </c>
      <c r="C54" s="125">
        <v>10</v>
      </c>
      <c r="D54" s="126">
        <v>0.10979999999999999</v>
      </c>
    </row>
    <row r="55" spans="1:4" x14ac:dyDescent="0.2">
      <c r="A55" s="69"/>
      <c r="B55" s="69"/>
      <c r="C55" s="69"/>
      <c r="D55" s="69"/>
    </row>
    <row r="56" spans="1:4" x14ac:dyDescent="0.2">
      <c r="A56" s="119" t="s">
        <v>384</v>
      </c>
      <c r="B56" s="69"/>
      <c r="C56" s="69"/>
      <c r="D56" s="69"/>
    </row>
    <row r="57" spans="1:4" x14ac:dyDescent="0.2">
      <c r="A57" s="69" t="s">
        <v>385</v>
      </c>
      <c r="B57" s="11">
        <f>D54</f>
        <v>0.10979999999999999</v>
      </c>
      <c r="C57" s="69"/>
      <c r="D57" s="69"/>
    </row>
    <row r="58" spans="1:4" x14ac:dyDescent="0.2">
      <c r="A58" s="69" t="s">
        <v>386</v>
      </c>
      <c r="B58" s="11">
        <f>D48</f>
        <v>7.3984615384615385E-2</v>
      </c>
      <c r="C58" s="69"/>
      <c r="D58" s="69"/>
    </row>
    <row r="59" spans="1:4" x14ac:dyDescent="0.2">
      <c r="A59" s="69"/>
      <c r="B59" s="69"/>
      <c r="C59" s="69"/>
      <c r="D59" s="69"/>
    </row>
    <row r="60" spans="1:4" x14ac:dyDescent="0.2">
      <c r="A60" s="119" t="s">
        <v>387</v>
      </c>
      <c r="B60" s="11">
        <f>B57-B58</f>
        <v>3.581538461538461E-2</v>
      </c>
      <c r="C60" s="69"/>
      <c r="D60" s="69"/>
    </row>
    <row r="61" spans="1:4" x14ac:dyDescent="0.2">
      <c r="A61" s="69"/>
      <c r="B61" s="69"/>
      <c r="C61" s="69"/>
      <c r="D61" s="69"/>
    </row>
    <row r="62" spans="1:4" ht="15" x14ac:dyDescent="0.25">
      <c r="A62" s="127" t="s">
        <v>375</v>
      </c>
      <c r="B62" s="128">
        <f>B42+B60</f>
        <v>0.17847888679346824</v>
      </c>
      <c r="C62" s="69" t="s">
        <v>388</v>
      </c>
      <c r="D62" s="129"/>
    </row>
    <row r="63" spans="1:4" x14ac:dyDescent="0.2">
      <c r="A63" s="69"/>
      <c r="B63" s="69"/>
      <c r="C63" s="69"/>
      <c r="D63" s="69"/>
    </row>
    <row r="64" spans="1:4" x14ac:dyDescent="0.2">
      <c r="A64" s="69"/>
      <c r="B64" s="34"/>
      <c r="C64" s="69"/>
      <c r="D64" s="69"/>
    </row>
    <row r="65" spans="1:4" ht="15" x14ac:dyDescent="0.25">
      <c r="A65" s="100" t="s">
        <v>351</v>
      </c>
      <c r="B65" s="69"/>
      <c r="C65" s="69"/>
      <c r="D65" s="69"/>
    </row>
    <row r="66" spans="1:4" x14ac:dyDescent="0.2">
      <c r="A66" s="69"/>
      <c r="B66" s="69"/>
      <c r="C66" s="69"/>
      <c r="D66" s="69"/>
    </row>
    <row r="67" spans="1:4" ht="15" x14ac:dyDescent="0.25">
      <c r="A67" s="127" t="s">
        <v>389</v>
      </c>
      <c r="B67" s="130">
        <f>B22*B62+B23*B24*(1-B19)</f>
        <v>0.17824788077464138</v>
      </c>
      <c r="C67" s="69"/>
      <c r="D67" s="69"/>
    </row>
  </sheetData>
  <mergeCells count="4">
    <mergeCell ref="A1:C1"/>
    <mergeCell ref="A3:C3"/>
    <mergeCell ref="A17:B17"/>
    <mergeCell ref="A27:C27"/>
  </mergeCells>
  <hyperlinks>
    <hyperlink ref="C39" r:id="rId1" xr:uid="{6D37E3A3-DE10-4168-BA2B-9D97C013110B}"/>
    <hyperlink ref="D33" r:id="rId2" xr:uid="{6C65C0ED-306B-48AB-A0AB-A1B385FDD2EA}"/>
    <hyperlink ref="D31" r:id="rId3" xr:uid="{E3CC18E1-97AE-40CB-874F-ABB8FC7CF417}"/>
  </hyperlinks>
  <pageMargins left="0.7" right="0.7" top="0.75" bottom="0.75" header="0.3" footer="0.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D8267-B7A1-4AD3-BC19-61E2F7CA8C34}">
  <sheetPr>
    <outlinePr summaryBelow="0"/>
  </sheetPr>
  <dimension ref="A1:I204"/>
  <sheetViews>
    <sheetView showGridLines="0" workbookViewId="0">
      <selection activeCell="B35" sqref="B35"/>
    </sheetView>
  </sheetViews>
  <sheetFormatPr baseColWidth="10" defaultRowHeight="12.75" outlineLevelRow="1" x14ac:dyDescent="0.2"/>
  <cols>
    <col min="1" max="1" width="60" customWidth="1"/>
    <col min="2" max="8" width="25.42578125" customWidth="1"/>
  </cols>
  <sheetData>
    <row r="1" spans="1:8" ht="39" x14ac:dyDescent="0.2">
      <c r="A1" s="138" t="s">
        <v>0</v>
      </c>
      <c r="B1" s="138"/>
      <c r="C1" s="138"/>
      <c r="D1" s="138"/>
      <c r="E1" s="138"/>
      <c r="F1" s="138"/>
      <c r="G1" s="138"/>
      <c r="H1" s="138"/>
    </row>
    <row r="2" spans="1:8" ht="15.75" x14ac:dyDescent="0.2">
      <c r="A2" s="1" t="s">
        <v>5</v>
      </c>
      <c r="B2" s="1" t="s">
        <v>8</v>
      </c>
      <c r="C2" s="1" t="s">
        <v>207</v>
      </c>
      <c r="D2" s="1" t="s">
        <v>208</v>
      </c>
      <c r="E2" s="1" t="s">
        <v>209</v>
      </c>
      <c r="F2" s="1" t="s">
        <v>210</v>
      </c>
      <c r="G2" s="1" t="s">
        <v>211</v>
      </c>
      <c r="H2" s="1" t="s">
        <v>212</v>
      </c>
    </row>
    <row r="3" spans="1:8" x14ac:dyDescent="0.2">
      <c r="A3" s="6" t="s">
        <v>9</v>
      </c>
      <c r="B3" t="s">
        <v>10</v>
      </c>
      <c r="C3" t="s">
        <v>10</v>
      </c>
    </row>
    <row r="4" spans="1:8" x14ac:dyDescent="0.2">
      <c r="A4" s="8" t="s">
        <v>11</v>
      </c>
      <c r="B4" t="s">
        <v>10</v>
      </c>
      <c r="C4" t="s">
        <v>10</v>
      </c>
    </row>
    <row r="5" spans="1:8" collapsed="1" x14ac:dyDescent="0.2">
      <c r="A5" s="9" t="s">
        <v>12</v>
      </c>
      <c r="B5" s="2">
        <f>+SUM(B6:B8)</f>
        <v>30500980.41</v>
      </c>
      <c r="C5" s="2">
        <f t="shared" ref="C5" si="0">+SUM(C6:C8)</f>
        <v>64611513.93</v>
      </c>
      <c r="D5" s="2">
        <f>+C5+D200</f>
        <v>244992846.01989371</v>
      </c>
      <c r="E5" s="2">
        <f>+D5+E200</f>
        <v>654034987.76901007</v>
      </c>
      <c r="F5" s="2">
        <f t="shared" ref="F5:H5" si="1">+E5+F200</f>
        <v>1198852147.8116589</v>
      </c>
      <c r="G5" s="2">
        <f t="shared" si="1"/>
        <v>1784196479.2524495</v>
      </c>
      <c r="H5" s="2">
        <f t="shared" si="1"/>
        <v>2391767883.7899618</v>
      </c>
    </row>
    <row r="6" spans="1:8" hidden="1" outlineLevel="1" collapsed="1" x14ac:dyDescent="0.2">
      <c r="A6" s="10" t="s">
        <v>13</v>
      </c>
      <c r="B6" s="2">
        <v>300000</v>
      </c>
      <c r="C6" s="2">
        <v>69156810.049999997</v>
      </c>
    </row>
    <row r="7" spans="1:8" hidden="1" outlineLevel="1" collapsed="1" x14ac:dyDescent="0.2">
      <c r="A7" s="10" t="s">
        <v>14</v>
      </c>
      <c r="B7" s="2">
        <v>0</v>
      </c>
      <c r="C7" s="2">
        <v>-8208790.9699999997</v>
      </c>
    </row>
    <row r="8" spans="1:8" hidden="1" outlineLevel="1" collapsed="1" x14ac:dyDescent="0.2">
      <c r="A8" s="10" t="s">
        <v>15</v>
      </c>
      <c r="B8" s="2">
        <v>30200980.41</v>
      </c>
      <c r="C8" s="2">
        <v>3663494.85</v>
      </c>
    </row>
    <row r="9" spans="1:8" ht="25.5" collapsed="1" x14ac:dyDescent="0.2">
      <c r="A9" s="9" t="s">
        <v>16</v>
      </c>
      <c r="B9" s="2">
        <f>+SUM(B10:B13)</f>
        <v>8416733</v>
      </c>
      <c r="C9" s="2">
        <f>+SUM(C10:C13)</f>
        <v>49681717.819999993</v>
      </c>
      <c r="D9" s="2">
        <f>+Supuestos!D27</f>
        <v>57678541.154742785</v>
      </c>
      <c r="E9" s="2">
        <f>+Supuestos!E27</f>
        <v>69480458.037174776</v>
      </c>
      <c r="F9" s="2">
        <f>+Supuestos!F27</f>
        <v>92640610.71623303</v>
      </c>
      <c r="G9" s="2">
        <f>+Supuestos!G27</f>
        <v>120240101.46081316</v>
      </c>
      <c r="H9" s="2">
        <f>+Supuestos!H27</f>
        <v>154153976.23181176</v>
      </c>
    </row>
    <row r="10" spans="1:8" hidden="1" outlineLevel="1" collapsed="1" x14ac:dyDescent="0.2">
      <c r="A10" s="10" t="s">
        <v>17</v>
      </c>
      <c r="B10" s="2">
        <v>0</v>
      </c>
      <c r="C10" s="2">
        <v>18884368.239999998</v>
      </c>
      <c r="D10" s="2"/>
      <c r="E10" s="2"/>
      <c r="F10" s="2"/>
      <c r="G10" s="2"/>
      <c r="H10" s="2"/>
    </row>
    <row r="11" spans="1:8" hidden="1" outlineLevel="1" collapsed="1" x14ac:dyDescent="0.2">
      <c r="A11" s="10" t="s">
        <v>18</v>
      </c>
      <c r="B11" s="2">
        <v>0</v>
      </c>
      <c r="C11" s="2">
        <v>-2014251</v>
      </c>
    </row>
    <row r="12" spans="1:8" hidden="1" outlineLevel="1" collapsed="1" x14ac:dyDescent="0.2">
      <c r="A12" s="10" t="s">
        <v>19</v>
      </c>
      <c r="B12" s="2">
        <v>8416733</v>
      </c>
      <c r="C12" s="2">
        <v>25911678.579999998</v>
      </c>
    </row>
    <row r="13" spans="1:8" hidden="1" outlineLevel="1" collapsed="1" x14ac:dyDescent="0.2">
      <c r="A13" s="10" t="s">
        <v>20</v>
      </c>
      <c r="B13" s="2">
        <v>0</v>
      </c>
      <c r="C13" s="2">
        <v>6899922</v>
      </c>
      <c r="D13" s="2"/>
      <c r="E13" s="2"/>
      <c r="F13" s="2"/>
      <c r="G13" s="2"/>
      <c r="H13" s="2"/>
    </row>
    <row r="14" spans="1:8" collapsed="1" x14ac:dyDescent="0.2">
      <c r="A14" s="9" t="s">
        <v>21</v>
      </c>
      <c r="B14" s="2">
        <f>+B15</f>
        <v>6014600</v>
      </c>
      <c r="C14" s="2">
        <f>+C15</f>
        <v>6014600</v>
      </c>
      <c r="D14" s="2">
        <f>+C14</f>
        <v>6014600</v>
      </c>
      <c r="E14" s="2">
        <f t="shared" ref="E14:H14" si="2">+D14</f>
        <v>6014600</v>
      </c>
      <c r="F14" s="2">
        <f t="shared" si="2"/>
        <v>6014600</v>
      </c>
      <c r="G14" s="2">
        <f t="shared" si="2"/>
        <v>6014600</v>
      </c>
      <c r="H14" s="2">
        <f t="shared" si="2"/>
        <v>6014600</v>
      </c>
    </row>
    <row r="15" spans="1:8" hidden="1" outlineLevel="1" collapsed="1" x14ac:dyDescent="0.2">
      <c r="A15" s="10" t="s">
        <v>22</v>
      </c>
      <c r="B15" s="2">
        <v>6014600</v>
      </c>
      <c r="C15" s="2">
        <v>6014600</v>
      </c>
      <c r="D15" s="2"/>
      <c r="E15" s="2"/>
      <c r="F15" s="2"/>
      <c r="G15" s="2"/>
      <c r="H15" s="2"/>
    </row>
    <row r="16" spans="1:8" collapsed="1" x14ac:dyDescent="0.2">
      <c r="A16" s="9" t="s">
        <v>23</v>
      </c>
      <c r="B16" s="2">
        <v>0</v>
      </c>
      <c r="C16" s="2">
        <f>+SUM(C17:C20)</f>
        <v>1760610.18</v>
      </c>
      <c r="D16" s="2">
        <f>+Supuestos!D38</f>
        <v>11532274.237190975</v>
      </c>
      <c r="E16" s="2">
        <f>+Supuestos!E38</f>
        <v>13891954.965723896</v>
      </c>
      <c r="F16" s="2">
        <f>+Supuestos!F38</f>
        <v>18522606.620965194</v>
      </c>
      <c r="G16" s="2">
        <f>+Supuestos!G38</f>
        <v>24040861.585483145</v>
      </c>
      <c r="H16" s="2">
        <f>+Supuestos!H38</f>
        <v>30821617.417286083</v>
      </c>
    </row>
    <row r="17" spans="1:8" hidden="1" outlineLevel="1" collapsed="1" x14ac:dyDescent="0.2">
      <c r="A17" s="10" t="s">
        <v>24</v>
      </c>
      <c r="B17" s="2">
        <v>0</v>
      </c>
      <c r="C17" s="2">
        <v>1521132.46</v>
      </c>
    </row>
    <row r="18" spans="1:8" hidden="1" outlineLevel="1" collapsed="1" x14ac:dyDescent="0.2">
      <c r="A18" s="10" t="s">
        <v>25</v>
      </c>
      <c r="B18" s="2">
        <v>0</v>
      </c>
      <c r="C18" s="2">
        <v>155658.54999999999</v>
      </c>
    </row>
    <row r="19" spans="1:8" hidden="1" outlineLevel="1" collapsed="1" x14ac:dyDescent="0.2">
      <c r="A19" s="10" t="s">
        <v>26</v>
      </c>
      <c r="B19" s="2">
        <v>0</v>
      </c>
      <c r="C19" s="2">
        <v>18585.77</v>
      </c>
    </row>
    <row r="20" spans="1:8" hidden="1" outlineLevel="1" collapsed="1" x14ac:dyDescent="0.2">
      <c r="A20" s="10" t="s">
        <v>27</v>
      </c>
      <c r="B20" s="2">
        <v>0</v>
      </c>
      <c r="C20" s="2">
        <v>65233.4</v>
      </c>
    </row>
    <row r="21" spans="1:8" ht="15" x14ac:dyDescent="0.25">
      <c r="A21" s="8" t="s">
        <v>28</v>
      </c>
      <c r="B21" s="3">
        <f>+SUM(B5+B9+B14+B16)</f>
        <v>44932313.409999996</v>
      </c>
      <c r="C21" s="3">
        <f>+SUM(C5+C9+C14+C16)</f>
        <v>122068441.93000001</v>
      </c>
      <c r="D21" s="3">
        <f>+SUM(D5+D9+D14+D16)</f>
        <v>320218261.41182745</v>
      </c>
      <c r="E21" s="3">
        <f t="shared" ref="E21:H21" si="3">+SUM(E5+E9+E14+E16)</f>
        <v>743422000.77190876</v>
      </c>
      <c r="F21" s="3">
        <f t="shared" si="3"/>
        <v>1316029965.1488571</v>
      </c>
      <c r="G21" s="3">
        <f t="shared" si="3"/>
        <v>1934492042.2987456</v>
      </c>
      <c r="H21" s="3">
        <f t="shared" si="3"/>
        <v>2582758077.4390593</v>
      </c>
    </row>
    <row r="22" spans="1:8" x14ac:dyDescent="0.2">
      <c r="A22" s="8" t="s">
        <v>29</v>
      </c>
      <c r="B22" t="s">
        <v>10</v>
      </c>
      <c r="C22" t="s">
        <v>10</v>
      </c>
    </row>
    <row r="23" spans="1:8" collapsed="1" x14ac:dyDescent="0.2">
      <c r="A23" s="9" t="s">
        <v>30</v>
      </c>
      <c r="B23" s="2">
        <f>+SUM(B24:B26)</f>
        <v>457339133.69</v>
      </c>
      <c r="C23" s="2">
        <f>+SUM(C24:C26)</f>
        <v>425289286.09170002</v>
      </c>
      <c r="D23" s="2">
        <f>+SUM(D24:D26)</f>
        <v>393239438.49339998</v>
      </c>
      <c r="E23" s="2">
        <f t="shared" ref="E23:H23" si="4">+SUM(E24:E26)</f>
        <v>361189590.8951</v>
      </c>
      <c r="F23" s="2">
        <f t="shared" si="4"/>
        <v>743255550.5072546</v>
      </c>
      <c r="G23" s="2">
        <f t="shared" si="4"/>
        <v>680035695.91461933</v>
      </c>
      <c r="H23" s="2">
        <f t="shared" si="4"/>
        <v>1247242830.6853383</v>
      </c>
    </row>
    <row r="24" spans="1:8" hidden="1" outlineLevel="1" collapsed="1" x14ac:dyDescent="0.2">
      <c r="A24" s="10" t="s">
        <v>31</v>
      </c>
      <c r="B24" s="2">
        <v>453199490.69</v>
      </c>
      <c r="C24" s="2">
        <v>453199490.69</v>
      </c>
      <c r="D24" s="2">
        <f>+C24</f>
        <v>453199490.69</v>
      </c>
      <c r="E24" s="2">
        <f>+D24</f>
        <v>453199490.69</v>
      </c>
      <c r="F24" s="2">
        <f>+E24+(Supuestos!D56*Supuestos!D51)</f>
        <v>898485304.89478993</v>
      </c>
      <c r="G24" s="2">
        <f>+F24</f>
        <v>898485304.89478993</v>
      </c>
      <c r="H24" s="2">
        <f>+G24+(Supuestos!F56*Supuestos!F51)</f>
        <v>1576363788.0811923</v>
      </c>
    </row>
    <row r="25" spans="1:8" hidden="1" outlineLevel="1" collapsed="1" x14ac:dyDescent="0.2">
      <c r="A25" s="10" t="s">
        <v>32</v>
      </c>
      <c r="B25" s="2">
        <v>4655475</v>
      </c>
      <c r="C25" s="2">
        <v>4655475</v>
      </c>
      <c r="D25" s="2">
        <f>+C25</f>
        <v>4655475</v>
      </c>
      <c r="E25" s="2">
        <f>+D25</f>
        <v>4655475</v>
      </c>
      <c r="F25" s="2">
        <f>+E25</f>
        <v>4655475</v>
      </c>
      <c r="G25" s="2">
        <f>+F25</f>
        <v>4655475</v>
      </c>
      <c r="H25" s="2">
        <f>+G25</f>
        <v>4655475</v>
      </c>
    </row>
    <row r="26" spans="1:8" hidden="1" outlineLevel="1" collapsed="1" x14ac:dyDescent="0.2">
      <c r="A26" s="10" t="s">
        <v>284</v>
      </c>
      <c r="B26" s="2">
        <v>-515832</v>
      </c>
      <c r="C26" s="2">
        <f>-(SUM(C24:C25)*7%)+B26</f>
        <v>-32565679.598300003</v>
      </c>
      <c r="D26" s="2">
        <f>-(SUM(D24:D25)*7%)+C26</f>
        <v>-64615527.196600005</v>
      </c>
      <c r="E26" s="2">
        <f>-(SUM(E24:E25)*7%)+D26</f>
        <v>-96665374.7949</v>
      </c>
      <c r="F26" s="2">
        <f t="shared" ref="F26:H26" si="5">-(SUM(F24:F25)*7%)+E26</f>
        <v>-159885229.3875353</v>
      </c>
      <c r="G26" s="2">
        <f t="shared" si="5"/>
        <v>-223105083.98017061</v>
      </c>
      <c r="H26" s="2">
        <f t="shared" si="5"/>
        <v>-333776432.39585406</v>
      </c>
    </row>
    <row r="27" spans="1:8" collapsed="1" x14ac:dyDescent="0.2">
      <c r="A27" s="9" t="s">
        <v>34</v>
      </c>
      <c r="B27" s="2">
        <f>+SUM(B28:B29)</f>
        <v>2325360.33</v>
      </c>
      <c r="C27" s="2">
        <f>+SUM(C28:C29)</f>
        <v>7227994.3799999999</v>
      </c>
      <c r="D27" s="2">
        <f>+Supuestos!D38</f>
        <v>11532274.237190975</v>
      </c>
      <c r="E27" s="2">
        <f>+Supuestos!E38</f>
        <v>13891954.965723896</v>
      </c>
      <c r="F27" s="2">
        <f>+Supuestos!F38</f>
        <v>18522606.620965194</v>
      </c>
      <c r="G27" s="2">
        <f>+Supuestos!G38</f>
        <v>24040861.585483145</v>
      </c>
      <c r="H27" s="2">
        <f>+Supuestos!H38</f>
        <v>30821617.417286083</v>
      </c>
    </row>
    <row r="28" spans="1:8" hidden="1" outlineLevel="1" collapsed="1" x14ac:dyDescent="0.2">
      <c r="A28" s="10" t="s">
        <v>35</v>
      </c>
      <c r="B28" s="2">
        <v>2448160.33</v>
      </c>
      <c r="C28" s="2">
        <v>7539925.7000000002</v>
      </c>
    </row>
    <row r="29" spans="1:8" hidden="1" outlineLevel="1" collapsed="1" x14ac:dyDescent="0.2">
      <c r="A29" s="10" t="s">
        <v>36</v>
      </c>
      <c r="B29" s="2">
        <v>-122800</v>
      </c>
      <c r="C29" s="2">
        <v>-311931.32</v>
      </c>
    </row>
    <row r="30" spans="1:8" ht="15" x14ac:dyDescent="0.25">
      <c r="A30" s="8" t="s">
        <v>37</v>
      </c>
      <c r="B30" s="3">
        <f>+B23+B27</f>
        <v>459664494.01999998</v>
      </c>
      <c r="C30" s="3">
        <f>+C23+C27</f>
        <v>432517280.47170001</v>
      </c>
      <c r="D30" s="3">
        <f t="shared" ref="D30:H30" si="6">+D23+D27</f>
        <v>404771712.73059094</v>
      </c>
      <c r="E30" s="3">
        <f t="shared" si="6"/>
        <v>375081545.86082387</v>
      </c>
      <c r="F30" s="3">
        <f t="shared" si="6"/>
        <v>761778157.12821984</v>
      </c>
      <c r="G30" s="3">
        <f t="shared" si="6"/>
        <v>704076557.50010252</v>
      </c>
      <c r="H30" s="3">
        <f t="shared" si="6"/>
        <v>1278064448.1026244</v>
      </c>
    </row>
    <row r="31" spans="1:8" ht="15" x14ac:dyDescent="0.25">
      <c r="A31" s="6" t="s">
        <v>38</v>
      </c>
      <c r="B31" s="3">
        <f>+B30+B21</f>
        <v>504596807.42999995</v>
      </c>
      <c r="C31" s="3">
        <f>+C30+C21</f>
        <v>554585722.40170002</v>
      </c>
      <c r="D31" s="3">
        <f>+D30+D21</f>
        <v>724989974.14241838</v>
      </c>
      <c r="E31" s="3">
        <f t="shared" ref="E31:H31" si="7">+E30+E21</f>
        <v>1118503546.6327326</v>
      </c>
      <c r="F31" s="3">
        <f t="shared" si="7"/>
        <v>2077808122.277077</v>
      </c>
      <c r="G31" s="3">
        <f t="shared" si="7"/>
        <v>2638568599.7988482</v>
      </c>
      <c r="H31" s="3">
        <f t="shared" si="7"/>
        <v>3860822525.5416837</v>
      </c>
    </row>
    <row r="32" spans="1:8" x14ac:dyDescent="0.2">
      <c r="A32" s="6" t="s">
        <v>39</v>
      </c>
      <c r="B32" s="30"/>
      <c r="D32" s="30"/>
    </row>
    <row r="33" spans="1:9" x14ac:dyDescent="0.2">
      <c r="A33" s="8" t="s">
        <v>40</v>
      </c>
      <c r="B33" t="s">
        <v>10</v>
      </c>
      <c r="C33" t="s">
        <v>10</v>
      </c>
      <c r="D33" s="2"/>
    </row>
    <row r="34" spans="1:9" collapsed="1" x14ac:dyDescent="0.2">
      <c r="A34" s="9" t="s">
        <v>41</v>
      </c>
      <c r="B34" s="2">
        <f>+SUM(B35:B43)</f>
        <v>-280608801.22999996</v>
      </c>
      <c r="C34" s="2">
        <f>+SUM(C35:C43)</f>
        <v>-264400702.97999999</v>
      </c>
      <c r="D34" s="2">
        <f>+D103/'Indices Financieros 2024'!$C$12</f>
        <v>-73479632.212545842</v>
      </c>
      <c r="E34" s="2">
        <f>+E103/'Indices Financieros 2024'!$C$12</f>
        <v>-88706405.762012184</v>
      </c>
      <c r="F34" s="2">
        <f>+F103/'Indices Financieros 2024'!$C$12</f>
        <v>-121581324.4664185</v>
      </c>
      <c r="G34" s="2">
        <f>+G103/'Indices Financieros 2024'!$C$12</f>
        <v>-179948237.0524101</v>
      </c>
      <c r="H34" s="2">
        <f>+H103/'Indices Financieros 2024'!$C$12</f>
        <v>-277539803.33379573</v>
      </c>
    </row>
    <row r="35" spans="1:9" hidden="1" outlineLevel="1" collapsed="1" x14ac:dyDescent="0.2">
      <c r="A35" s="10" t="s">
        <v>42</v>
      </c>
      <c r="B35" s="2">
        <v>0</v>
      </c>
      <c r="C35" s="2">
        <v>-939050.69</v>
      </c>
    </row>
    <row r="36" spans="1:9" hidden="1" outlineLevel="1" collapsed="1" x14ac:dyDescent="0.2">
      <c r="A36" s="10" t="s">
        <v>43</v>
      </c>
      <c r="B36" s="2">
        <v>-118386253.91</v>
      </c>
      <c r="C36" s="2">
        <v>-94782809.159999996</v>
      </c>
    </row>
    <row r="37" spans="1:9" hidden="1" outlineLevel="1" collapsed="1" x14ac:dyDescent="0.2">
      <c r="A37" s="10" t="s">
        <v>44</v>
      </c>
      <c r="B37" s="2">
        <v>-161468046</v>
      </c>
      <c r="C37" s="2">
        <v>-161468046</v>
      </c>
    </row>
    <row r="38" spans="1:9" hidden="1" outlineLevel="1" collapsed="1" x14ac:dyDescent="0.2">
      <c r="A38" s="10" t="s">
        <v>45</v>
      </c>
      <c r="B38" s="2">
        <v>0</v>
      </c>
      <c r="C38" s="2">
        <v>-618333</v>
      </c>
    </row>
    <row r="39" spans="1:9" hidden="1" outlineLevel="1" collapsed="1" x14ac:dyDescent="0.2">
      <c r="A39" s="10" t="s">
        <v>46</v>
      </c>
      <c r="B39" s="2">
        <v>-479557.96</v>
      </c>
      <c r="C39" s="2">
        <v>-2463412.96</v>
      </c>
    </row>
    <row r="40" spans="1:9" hidden="1" outlineLevel="1" collapsed="1" x14ac:dyDescent="0.2">
      <c r="A40" s="10" t="s">
        <v>47</v>
      </c>
      <c r="B40" s="2">
        <v>-57547.360000000001</v>
      </c>
      <c r="C40" s="2">
        <v>-345432.17</v>
      </c>
    </row>
    <row r="41" spans="1:9" hidden="1" outlineLevel="1" collapsed="1" x14ac:dyDescent="0.2">
      <c r="A41" s="10" t="s">
        <v>48</v>
      </c>
      <c r="B41" s="2">
        <v>-217396</v>
      </c>
      <c r="C41" s="2">
        <v>-1384579</v>
      </c>
    </row>
    <row r="42" spans="1:9" hidden="1" outlineLevel="1" collapsed="1" x14ac:dyDescent="0.2">
      <c r="A42" s="10" t="s">
        <v>49</v>
      </c>
      <c r="B42" s="2">
        <v>479750.82</v>
      </c>
      <c r="C42" s="2">
        <v>479750.82</v>
      </c>
    </row>
    <row r="43" spans="1:9" hidden="1" outlineLevel="1" collapsed="1" x14ac:dyDescent="0.2">
      <c r="A43" s="10" t="s">
        <v>50</v>
      </c>
      <c r="B43" s="2">
        <v>-479750.82</v>
      </c>
      <c r="C43" s="2">
        <v>-2878790.82</v>
      </c>
    </row>
    <row r="44" spans="1:9" collapsed="1" x14ac:dyDescent="0.2">
      <c r="A44" s="9" t="s">
        <v>51</v>
      </c>
      <c r="B44" s="2">
        <f>+SUM(B45:B56)</f>
        <v>-989266.74</v>
      </c>
      <c r="C44" s="2">
        <f>+SUM(C45:C56)-C166</f>
        <v>3339081.2809050018</v>
      </c>
      <c r="D44" s="2">
        <f>+Supuestos!C44-D166</f>
        <v>-125137653.17004365</v>
      </c>
      <c r="E44" s="2">
        <f>+Supuestos!D44-E166</f>
        <v>-177311296.68774912</v>
      </c>
      <c r="F44" s="2">
        <f>+Supuestos!E44-F166</f>
        <v>-229484570.81619513</v>
      </c>
      <c r="G44" s="2">
        <f>+Supuestos!F44-G166</f>
        <v>-262068049.81874776</v>
      </c>
      <c r="H44" s="2">
        <f>+Supuestos!G44-H166</f>
        <v>-253029376.19411603</v>
      </c>
      <c r="I44" s="52"/>
    </row>
    <row r="45" spans="1:9" hidden="1" outlineLevel="1" collapsed="1" x14ac:dyDescent="0.2">
      <c r="A45" s="10" t="s">
        <v>52</v>
      </c>
      <c r="B45" s="2">
        <v>-1196362</v>
      </c>
      <c r="C45" s="2">
        <v>-1974356.96</v>
      </c>
    </row>
    <row r="46" spans="1:9" hidden="1" outlineLevel="1" collapsed="1" x14ac:dyDescent="0.2">
      <c r="A46" s="10" t="s">
        <v>53</v>
      </c>
      <c r="B46" s="2">
        <v>-309036.74</v>
      </c>
      <c r="C46" s="2">
        <v>-3190003.88</v>
      </c>
    </row>
    <row r="47" spans="1:9" hidden="1" outlineLevel="1" collapsed="1" x14ac:dyDescent="0.2">
      <c r="A47" s="10" t="s">
        <v>54</v>
      </c>
      <c r="B47" s="2">
        <v>0</v>
      </c>
      <c r="C47" s="2">
        <v>5882.53</v>
      </c>
    </row>
    <row r="48" spans="1:9" hidden="1" outlineLevel="1" collapsed="1" x14ac:dyDescent="0.2">
      <c r="A48" s="10" t="s">
        <v>55</v>
      </c>
      <c r="B48" s="2">
        <v>-578868</v>
      </c>
      <c r="C48" s="2">
        <v>-918497.21</v>
      </c>
    </row>
    <row r="49" spans="1:8" hidden="1" outlineLevel="1" collapsed="1" x14ac:dyDescent="0.2">
      <c r="A49" s="10" t="s">
        <v>56</v>
      </c>
      <c r="B49" s="2">
        <v>0</v>
      </c>
      <c r="C49" s="2">
        <v>-1521132.46</v>
      </c>
    </row>
    <row r="50" spans="1:8" hidden="1" outlineLevel="1" collapsed="1" x14ac:dyDescent="0.2">
      <c r="A50" s="10" t="s">
        <v>57</v>
      </c>
      <c r="B50" s="2">
        <v>1095000</v>
      </c>
      <c r="C50" s="2">
        <v>9742000</v>
      </c>
      <c r="D50" s="2"/>
    </row>
    <row r="51" spans="1:8" hidden="1" outlineLevel="1" collapsed="1" x14ac:dyDescent="0.2">
      <c r="A51" s="10" t="s">
        <v>58</v>
      </c>
      <c r="B51" s="2">
        <v>0</v>
      </c>
      <c r="C51" s="2">
        <v>721875.4</v>
      </c>
    </row>
    <row r="52" spans="1:8" hidden="1" outlineLevel="1" collapsed="1" x14ac:dyDescent="0.2">
      <c r="A52" s="10" t="s">
        <v>59</v>
      </c>
      <c r="B52" s="2">
        <v>0</v>
      </c>
      <c r="C52" s="2">
        <v>16956.849999999999</v>
      </c>
    </row>
    <row r="53" spans="1:8" hidden="1" outlineLevel="1" collapsed="1" x14ac:dyDescent="0.2">
      <c r="A53" s="10" t="s">
        <v>60</v>
      </c>
      <c r="B53" s="2">
        <v>0</v>
      </c>
      <c r="C53" s="2">
        <v>6248935.3300000001</v>
      </c>
    </row>
    <row r="54" spans="1:8" hidden="1" outlineLevel="1" collapsed="1" x14ac:dyDescent="0.2">
      <c r="A54" s="10" t="s">
        <v>61</v>
      </c>
      <c r="B54" s="2">
        <v>0</v>
      </c>
      <c r="C54" s="2">
        <v>-152478.99</v>
      </c>
    </row>
    <row r="55" spans="1:8" hidden="1" outlineLevel="1" collapsed="1" x14ac:dyDescent="0.2">
      <c r="A55" s="10" t="s">
        <v>62</v>
      </c>
      <c r="B55" s="2">
        <v>0</v>
      </c>
      <c r="C55" s="2">
        <v>6271.4</v>
      </c>
    </row>
    <row r="56" spans="1:8" hidden="1" outlineLevel="1" collapsed="1" x14ac:dyDescent="0.2">
      <c r="A56" s="10" t="s">
        <v>63</v>
      </c>
      <c r="B56" s="2">
        <v>0</v>
      </c>
      <c r="C56" s="2">
        <v>24429.62</v>
      </c>
    </row>
    <row r="57" spans="1:8" collapsed="1" x14ac:dyDescent="0.2">
      <c r="A57" s="9" t="s">
        <v>64</v>
      </c>
      <c r="B57" s="2">
        <f>+SUM(B58:B64)</f>
        <v>-1148079.8700000001</v>
      </c>
      <c r="C57" s="2">
        <f t="shared" ref="C57" si="8">+SUM(C58:C64)</f>
        <v>-1188579.8699999999</v>
      </c>
      <c r="D57" s="2">
        <f>+C57</f>
        <v>-1188579.8699999999</v>
      </c>
      <c r="E57" s="2">
        <f t="shared" ref="E57:G57" si="9">+D57</f>
        <v>-1188579.8699999999</v>
      </c>
      <c r="F57" s="2">
        <f t="shared" si="9"/>
        <v>-1188579.8699999999</v>
      </c>
      <c r="G57" s="2">
        <f t="shared" si="9"/>
        <v>-1188579.8699999999</v>
      </c>
      <c r="H57" s="2">
        <f>+G57</f>
        <v>-1188579.8699999999</v>
      </c>
    </row>
    <row r="58" spans="1:8" hidden="1" outlineLevel="1" collapsed="1" x14ac:dyDescent="0.2">
      <c r="A58" s="10" t="s">
        <v>65</v>
      </c>
      <c r="B58" s="2">
        <v>-651666.67000000004</v>
      </c>
      <c r="C58" s="2">
        <v>-651666.67000000004</v>
      </c>
    </row>
    <row r="59" spans="1:8" ht="25.5" hidden="1" outlineLevel="1" collapsed="1" x14ac:dyDescent="0.2">
      <c r="A59" s="10" t="s">
        <v>66</v>
      </c>
      <c r="B59" s="2">
        <v>-27213.200000000001</v>
      </c>
      <c r="C59" s="2">
        <v>1367786.8</v>
      </c>
    </row>
    <row r="60" spans="1:8" hidden="1" outlineLevel="1" collapsed="1" x14ac:dyDescent="0.2">
      <c r="A60" s="10" t="s">
        <v>67</v>
      </c>
      <c r="B60" s="2">
        <v>-208533.33</v>
      </c>
      <c r="C60" s="2">
        <v>-208533.33</v>
      </c>
    </row>
    <row r="61" spans="1:8" hidden="1" outlineLevel="1" collapsed="1" x14ac:dyDescent="0.2">
      <c r="A61" s="10" t="s">
        <v>68</v>
      </c>
      <c r="B61" s="2">
        <v>-104266.67</v>
      </c>
      <c r="C61" s="2">
        <v>-104266.67</v>
      </c>
    </row>
    <row r="62" spans="1:8" hidden="1" outlineLevel="1" collapsed="1" x14ac:dyDescent="0.2">
      <c r="A62" s="10" t="s">
        <v>69</v>
      </c>
      <c r="B62" s="2">
        <v>-156400</v>
      </c>
      <c r="C62" s="2">
        <v>-156400</v>
      </c>
    </row>
    <row r="63" spans="1:8" hidden="1" outlineLevel="1" collapsed="1" x14ac:dyDescent="0.2">
      <c r="A63" s="10" t="s">
        <v>70</v>
      </c>
      <c r="B63" s="2">
        <v>0</v>
      </c>
      <c r="C63" s="2">
        <v>-526100</v>
      </c>
    </row>
    <row r="64" spans="1:8" hidden="1" outlineLevel="1" collapsed="1" x14ac:dyDescent="0.2">
      <c r="A64" s="10" t="s">
        <v>71</v>
      </c>
      <c r="B64" s="2">
        <v>0</v>
      </c>
      <c r="C64" s="2">
        <v>-909400</v>
      </c>
    </row>
    <row r="65" spans="1:8" ht="15" x14ac:dyDescent="0.25">
      <c r="A65" s="8" t="s">
        <v>72</v>
      </c>
      <c r="B65" s="3">
        <f>+B34+B44+B57</f>
        <v>-282746147.83999997</v>
      </c>
      <c r="C65" s="3">
        <f>+C34+C44+C57</f>
        <v>-262250201.56909499</v>
      </c>
      <c r="D65" s="3">
        <f t="shared" ref="D65:H65" si="10">+D34+D44+D57</f>
        <v>-199805865.25258949</v>
      </c>
      <c r="E65" s="3">
        <f t="shared" si="10"/>
        <v>-267206282.31976131</v>
      </c>
      <c r="F65" s="3">
        <f t="shared" si="10"/>
        <v>-352254475.15261364</v>
      </c>
      <c r="G65" s="3">
        <f t="shared" si="10"/>
        <v>-443204866.74115789</v>
      </c>
      <c r="H65" s="3">
        <f t="shared" si="10"/>
        <v>-531757759.39791179</v>
      </c>
    </row>
    <row r="66" spans="1:8" x14ac:dyDescent="0.2">
      <c r="A66" s="8" t="s">
        <v>73</v>
      </c>
      <c r="B66" t="s">
        <v>10</v>
      </c>
      <c r="C66" t="s">
        <v>10</v>
      </c>
    </row>
    <row r="67" spans="1:8" collapsed="1" x14ac:dyDescent="0.2">
      <c r="A67" s="9" t="s">
        <v>74</v>
      </c>
      <c r="B67" s="2">
        <f>+SUM(B68:B69)</f>
        <v>-11729694</v>
      </c>
      <c r="C67" s="2">
        <f>+SUM(C68:C70)</f>
        <v>-71597458</v>
      </c>
      <c r="D67" s="2">
        <f t="shared" ref="D67:H67" si="11">+SUM(D68:D70)</f>
        <v>-55314910</v>
      </c>
      <c r="E67" s="2">
        <f t="shared" si="11"/>
        <v>-39793556</v>
      </c>
      <c r="F67" s="2">
        <f t="shared" si="11"/>
        <v>-472996822.20478994</v>
      </c>
      <c r="G67" s="2">
        <f t="shared" si="11"/>
        <v>-436285787.87722319</v>
      </c>
      <c r="H67" s="2">
        <f t="shared" si="11"/>
        <v>-1074346047.3181627</v>
      </c>
    </row>
    <row r="68" spans="1:8" hidden="1" outlineLevel="1" collapsed="1" x14ac:dyDescent="0.2">
      <c r="A68" s="10" t="s">
        <v>75</v>
      </c>
      <c r="B68" s="2">
        <v>0</v>
      </c>
      <c r="C68" s="2">
        <v>-63958652</v>
      </c>
      <c r="D68" s="2">
        <f>+C68+(2013758*6)</f>
        <v>-51876104</v>
      </c>
      <c r="E68" s="2">
        <f t="shared" ref="E68:H68" si="12">+D68+(2013758*6)</f>
        <v>-39793556</v>
      </c>
      <c r="F68" s="2">
        <f t="shared" si="12"/>
        <v>-27711008</v>
      </c>
      <c r="G68" s="2">
        <f t="shared" si="12"/>
        <v>-15628460</v>
      </c>
      <c r="H68" s="2">
        <f t="shared" si="12"/>
        <v>-3545912</v>
      </c>
    </row>
    <row r="69" spans="1:8" hidden="1" outlineLevel="1" collapsed="1" x14ac:dyDescent="0.2">
      <c r="A69" s="10" t="s">
        <v>76</v>
      </c>
      <c r="B69" s="2">
        <v>-11729694</v>
      </c>
      <c r="C69" s="2">
        <v>-7638806</v>
      </c>
      <c r="D69" s="2">
        <f>+C69+(700000*6)</f>
        <v>-3438806</v>
      </c>
      <c r="E69" s="2">
        <v>0</v>
      </c>
      <c r="F69" s="2">
        <v>0</v>
      </c>
      <c r="G69" s="2">
        <v>0</v>
      </c>
      <c r="H69" s="2">
        <v>0</v>
      </c>
    </row>
    <row r="70" spans="1:8" hidden="1" outlineLevel="1" x14ac:dyDescent="0.2">
      <c r="A70" s="41" t="s">
        <v>265</v>
      </c>
      <c r="B70" s="2">
        <v>0</v>
      </c>
      <c r="C70" s="2">
        <v>0</v>
      </c>
      <c r="D70" s="2">
        <v>0</v>
      </c>
      <c r="E70" s="2">
        <v>0</v>
      </c>
      <c r="F70" s="2">
        <f>-Supuestos!D56*Supuestos!D51</f>
        <v>-445285814.20478994</v>
      </c>
      <c r="G70" s="2">
        <f>+F70+SUM(Supuestos!D110:D115)</f>
        <v>-420657327.87722319</v>
      </c>
      <c r="H70" s="2">
        <f>(-Supuestos!F56*Supuestos!F51)+(G70+SUM(Supuestos!D116:D121))</f>
        <v>-1070800135.3181627</v>
      </c>
    </row>
    <row r="71" spans="1:8" collapsed="1" x14ac:dyDescent="0.2">
      <c r="A71" s="9" t="s">
        <v>77</v>
      </c>
      <c r="B71" s="2">
        <f>+SUM(B72:B73)</f>
        <v>-834133.33</v>
      </c>
      <c r="C71" s="2">
        <f t="shared" ref="C71" si="13">+SUM(C72:C73)</f>
        <v>-919744.21</v>
      </c>
      <c r="D71" s="2">
        <f>+C71</f>
        <v>-919744.21</v>
      </c>
      <c r="E71" s="2">
        <f t="shared" ref="E71:H71" si="14">+D71</f>
        <v>-919744.21</v>
      </c>
      <c r="F71" s="2">
        <f t="shared" si="14"/>
        <v>-919744.21</v>
      </c>
      <c r="G71" s="2">
        <f t="shared" si="14"/>
        <v>-919744.21</v>
      </c>
      <c r="H71" s="2">
        <f t="shared" si="14"/>
        <v>-919744.21</v>
      </c>
    </row>
    <row r="72" spans="1:8" hidden="1" outlineLevel="1" collapsed="1" x14ac:dyDescent="0.2">
      <c r="A72" s="10" t="s">
        <v>78</v>
      </c>
      <c r="B72" s="2">
        <v>-834133.33</v>
      </c>
      <c r="C72" s="2">
        <v>-834133.33</v>
      </c>
    </row>
    <row r="73" spans="1:8" hidden="1" outlineLevel="1" collapsed="1" x14ac:dyDescent="0.2">
      <c r="A73" s="10" t="s">
        <v>79</v>
      </c>
      <c r="B73" s="2">
        <v>0</v>
      </c>
      <c r="C73" s="2">
        <v>-85610.880000000005</v>
      </c>
    </row>
    <row r="74" spans="1:8" ht="15" x14ac:dyDescent="0.25">
      <c r="A74" s="8" t="s">
        <v>80</v>
      </c>
      <c r="B74" s="3">
        <f>+B67+B71</f>
        <v>-12563827.33</v>
      </c>
      <c r="C74" s="3">
        <f t="shared" ref="C74:H74" si="15">+C67+C71</f>
        <v>-72517202.209999993</v>
      </c>
      <c r="D74" s="3">
        <f t="shared" si="15"/>
        <v>-56234654.210000001</v>
      </c>
      <c r="E74" s="3">
        <f t="shared" si="15"/>
        <v>-40713300.210000001</v>
      </c>
      <c r="F74" s="3">
        <f t="shared" si="15"/>
        <v>-473916566.41478992</v>
      </c>
      <c r="G74" s="3">
        <f t="shared" si="15"/>
        <v>-437205532.08722317</v>
      </c>
      <c r="H74" s="3">
        <f t="shared" si="15"/>
        <v>-1075265791.5281627</v>
      </c>
    </row>
    <row r="75" spans="1:8" ht="15" x14ac:dyDescent="0.25">
      <c r="A75" s="6" t="s">
        <v>81</v>
      </c>
      <c r="B75" s="3">
        <f>+B74+B65</f>
        <v>-295309975.16999996</v>
      </c>
      <c r="C75" s="3">
        <f t="shared" ref="C75:H75" si="16">+C74+C65</f>
        <v>-334767403.77909499</v>
      </c>
      <c r="D75" s="3">
        <f t="shared" si="16"/>
        <v>-256040519.4625895</v>
      </c>
      <c r="E75" s="3">
        <f t="shared" si="16"/>
        <v>-307919582.52976131</v>
      </c>
      <c r="F75" s="3">
        <f t="shared" si="16"/>
        <v>-826171041.56740355</v>
      </c>
      <c r="G75" s="3">
        <f t="shared" si="16"/>
        <v>-880410398.82838106</v>
      </c>
      <c r="H75" s="3">
        <f t="shared" si="16"/>
        <v>-1607023550.9260745</v>
      </c>
    </row>
    <row r="76" spans="1:8" x14ac:dyDescent="0.2">
      <c r="A76" s="6" t="s">
        <v>82</v>
      </c>
      <c r="B76" t="s">
        <v>10</v>
      </c>
      <c r="C76" t="s">
        <v>10</v>
      </c>
    </row>
    <row r="77" spans="1:8" x14ac:dyDescent="0.2">
      <c r="A77" s="8" t="s">
        <v>82</v>
      </c>
      <c r="B77" t="s">
        <v>10</v>
      </c>
      <c r="C77" t="s">
        <v>10</v>
      </c>
    </row>
    <row r="78" spans="1:8" collapsed="1" x14ac:dyDescent="0.2">
      <c r="A78" s="9" t="s">
        <v>83</v>
      </c>
      <c r="B78" s="2">
        <f>+B79</f>
        <v>-200000000</v>
      </c>
      <c r="C78" s="2">
        <f>+C79</f>
        <v>-200000000</v>
      </c>
      <c r="D78" s="2">
        <f>+C78</f>
        <v>-200000000</v>
      </c>
      <c r="E78" s="2">
        <f t="shared" ref="E78:H78" si="17">+D78</f>
        <v>-200000000</v>
      </c>
      <c r="F78" s="2">
        <f t="shared" si="17"/>
        <v>-200000000</v>
      </c>
      <c r="G78" s="2">
        <f t="shared" si="17"/>
        <v>-200000000</v>
      </c>
      <c r="H78" s="2">
        <f t="shared" si="17"/>
        <v>-200000000</v>
      </c>
    </row>
    <row r="79" spans="1:8" hidden="1" outlineLevel="1" collapsed="1" x14ac:dyDescent="0.2">
      <c r="A79" s="10" t="s">
        <v>84</v>
      </c>
      <c r="B79" s="2">
        <v>-200000000</v>
      </c>
      <c r="C79" s="2">
        <v>-200000000</v>
      </c>
      <c r="D79" s="2"/>
      <c r="E79" s="2"/>
      <c r="F79" s="2"/>
      <c r="G79" s="2"/>
      <c r="H79" s="2"/>
    </row>
    <row r="80" spans="1:8" collapsed="1" x14ac:dyDescent="0.2">
      <c r="A80" s="9" t="s">
        <v>85</v>
      </c>
      <c r="B80" s="2">
        <f>+B81</f>
        <v>-9286832.2599999998</v>
      </c>
      <c r="C80" s="2">
        <f>+C81</f>
        <v>-9286832.2599999998</v>
      </c>
      <c r="D80" s="2">
        <f>+D81</f>
        <v>-19818318.622604996</v>
      </c>
      <c r="E80" s="2">
        <f t="shared" ref="E80:H80" si="18">+E81</f>
        <v>-268949454.67982888</v>
      </c>
      <c r="F80" s="2">
        <f t="shared" si="18"/>
        <v>-610583964.10297132</v>
      </c>
      <c r="G80" s="2">
        <f t="shared" si="18"/>
        <v>-1051637080.7096733</v>
      </c>
      <c r="H80" s="2">
        <f t="shared" si="18"/>
        <v>-1558158200.9704671</v>
      </c>
    </row>
    <row r="81" spans="1:8" hidden="1" outlineLevel="1" collapsed="1" x14ac:dyDescent="0.2">
      <c r="A81" s="10" t="s">
        <v>86</v>
      </c>
      <c r="B81" s="2">
        <v>-9286832.2599999998</v>
      </c>
      <c r="C81" s="2">
        <f>+B81+B82</f>
        <v>-9286832.2599999998</v>
      </c>
      <c r="D81" s="2">
        <f>+C81+C82</f>
        <v>-19818318.622604996</v>
      </c>
      <c r="E81" s="2">
        <f>+D81+D82</f>
        <v>-268949454.67982888</v>
      </c>
      <c r="F81" s="2">
        <f>+E81+E82</f>
        <v>-610583964.10297132</v>
      </c>
      <c r="G81" s="2">
        <f t="shared" ref="G81:H81" si="19">+F81+F82</f>
        <v>-1051637080.7096733</v>
      </c>
      <c r="H81" s="2">
        <f t="shared" si="19"/>
        <v>-1558158200.9704671</v>
      </c>
    </row>
    <row r="82" spans="1:8" collapsed="1" x14ac:dyDescent="0.2">
      <c r="A82" s="9" t="s">
        <v>87</v>
      </c>
      <c r="B82" s="2">
        <f>+B83</f>
        <v>0</v>
      </c>
      <c r="C82" s="2">
        <f>+C83</f>
        <v>-10531486.362604998</v>
      </c>
      <c r="D82" s="2">
        <f>-D167</f>
        <v>-249131136.05722392</v>
      </c>
      <c r="E82" s="2">
        <f t="shared" ref="E82:H82" si="20">-E167</f>
        <v>-341634509.42314243</v>
      </c>
      <c r="F82" s="2">
        <f t="shared" si="20"/>
        <v>-441053116.60670197</v>
      </c>
      <c r="G82" s="2">
        <f t="shared" si="20"/>
        <v>-506521120.26079386</v>
      </c>
      <c r="H82" s="2">
        <f t="shared" si="20"/>
        <v>-495640773.64514244</v>
      </c>
    </row>
    <row r="83" spans="1:8" hidden="1" outlineLevel="1" collapsed="1" x14ac:dyDescent="0.2">
      <c r="A83" s="10" t="s">
        <v>88</v>
      </c>
      <c r="B83" s="2">
        <v>0</v>
      </c>
      <c r="C83" s="2">
        <f>-C167</f>
        <v>-10531486.362604998</v>
      </c>
      <c r="D83" s="2">
        <f t="shared" ref="D83:H83" si="21">-D167</f>
        <v>-249131136.05722392</v>
      </c>
      <c r="E83" s="2">
        <f t="shared" si="21"/>
        <v>-341634509.42314243</v>
      </c>
      <c r="F83" s="2">
        <f t="shared" si="21"/>
        <v>-441053116.60670197</v>
      </c>
      <c r="G83" s="2">
        <f t="shared" si="21"/>
        <v>-506521120.26079386</v>
      </c>
      <c r="H83" s="2">
        <f t="shared" si="21"/>
        <v>-495640773.64514244</v>
      </c>
    </row>
    <row r="84" spans="1:8" ht="15" x14ac:dyDescent="0.25">
      <c r="A84" s="8" t="s">
        <v>89</v>
      </c>
      <c r="B84" s="3">
        <f>+B82+B80+B78</f>
        <v>-209286832.25999999</v>
      </c>
      <c r="C84" s="3">
        <f>+C82+C80+C78</f>
        <v>-219818318.622605</v>
      </c>
      <c r="D84" s="3">
        <f>+D82+D80+D78</f>
        <v>-468949454.67982888</v>
      </c>
      <c r="E84" s="3">
        <f>+E82+E80+E78</f>
        <v>-810583964.10297132</v>
      </c>
      <c r="F84" s="3">
        <f>+F82+F80+F78</f>
        <v>-1251637080.7096734</v>
      </c>
      <c r="G84" s="3">
        <f t="shared" ref="G84:H84" si="22">+G82+G80+G78</f>
        <v>-1758158200.9704671</v>
      </c>
      <c r="H84" s="3">
        <f t="shared" si="22"/>
        <v>-2253798974.6156096</v>
      </c>
    </row>
    <row r="85" spans="1:8" ht="15" x14ac:dyDescent="0.25">
      <c r="A85" s="6" t="s">
        <v>89</v>
      </c>
      <c r="B85" s="3">
        <f>+B84</f>
        <v>-209286832.25999999</v>
      </c>
      <c r="C85" s="3">
        <f>+C84</f>
        <v>-219818318.622605</v>
      </c>
      <c r="D85" s="3">
        <f>+D84</f>
        <v>-468949454.67982888</v>
      </c>
      <c r="E85" s="3">
        <f>+E84</f>
        <v>-810583964.10297132</v>
      </c>
      <c r="F85" s="3">
        <f t="shared" ref="F85:H85" si="23">+F84</f>
        <v>-1251637080.7096734</v>
      </c>
      <c r="G85" s="3">
        <f t="shared" si="23"/>
        <v>-1758158200.9704671</v>
      </c>
      <c r="H85" s="3">
        <f t="shared" si="23"/>
        <v>-2253798974.6156096</v>
      </c>
    </row>
    <row r="86" spans="1:8" ht="15" x14ac:dyDescent="0.25">
      <c r="A86" s="6" t="s">
        <v>90</v>
      </c>
      <c r="B86" s="3">
        <f>+B85+B75</f>
        <v>-504596807.42999995</v>
      </c>
      <c r="C86" s="3">
        <f>+C85+C75</f>
        <v>-554585722.40170002</v>
      </c>
      <c r="D86" s="3">
        <f>+D85+D75</f>
        <v>-724989974.14241838</v>
      </c>
      <c r="E86" s="3">
        <f>+E85+E75</f>
        <v>-1118503546.6327326</v>
      </c>
      <c r="F86" s="3">
        <f t="shared" ref="F86:G86" si="24">+F85+F75</f>
        <v>-2077808122.277077</v>
      </c>
      <c r="G86" s="3">
        <f t="shared" si="24"/>
        <v>-2638568599.7988482</v>
      </c>
      <c r="H86" s="3">
        <f>+H85+H75</f>
        <v>-3860822525.5416842</v>
      </c>
    </row>
    <row r="87" spans="1:8" x14ac:dyDescent="0.2">
      <c r="A87" s="67" t="s">
        <v>263</v>
      </c>
      <c r="B87" s="68">
        <f>+B86+B31</f>
        <v>0</v>
      </c>
      <c r="C87" s="68">
        <f>+C86+C31</f>
        <v>0</v>
      </c>
      <c r="D87" s="68">
        <f>+D86+D31</f>
        <v>0</v>
      </c>
      <c r="E87" s="68">
        <f>+E86+E31</f>
        <v>0</v>
      </c>
      <c r="F87" s="68">
        <f>+F86+F31</f>
        <v>0</v>
      </c>
      <c r="G87" s="68">
        <f t="shared" ref="G87" si="25">+G86+G31</f>
        <v>0</v>
      </c>
      <c r="H87" s="68">
        <f>+H86+H31</f>
        <v>0</v>
      </c>
    </row>
    <row r="88" spans="1:8" x14ac:dyDescent="0.2">
      <c r="A88" s="4"/>
      <c r="C88" s="51"/>
      <c r="D88" s="2"/>
      <c r="E88" s="2"/>
      <c r="F88" s="2"/>
      <c r="G88" s="2"/>
      <c r="H88" s="2"/>
    </row>
    <row r="89" spans="1:8" ht="39" x14ac:dyDescent="0.2">
      <c r="A89" s="138" t="s">
        <v>157</v>
      </c>
      <c r="B89" s="138"/>
      <c r="C89" s="138"/>
      <c r="D89" s="138"/>
      <c r="E89" s="138"/>
      <c r="F89" s="138"/>
      <c r="G89" s="138"/>
      <c r="H89" s="138"/>
    </row>
    <row r="90" spans="1:8" ht="15.75" x14ac:dyDescent="0.2">
      <c r="A90" s="13" t="s">
        <v>5</v>
      </c>
      <c r="B90" s="13" t="s">
        <v>8</v>
      </c>
      <c r="C90" s="1" t="s">
        <v>207</v>
      </c>
      <c r="D90" s="1" t="s">
        <v>208</v>
      </c>
      <c r="E90" s="1" t="s">
        <v>209</v>
      </c>
      <c r="F90" s="1" t="s">
        <v>210</v>
      </c>
      <c r="G90" s="1" t="s">
        <v>211</v>
      </c>
      <c r="H90" s="1" t="s">
        <v>212</v>
      </c>
    </row>
    <row r="91" spans="1:8" collapsed="1" x14ac:dyDescent="0.2">
      <c r="A91" s="5" t="s">
        <v>155</v>
      </c>
      <c r="B91" s="2">
        <f>+SUM(B92:B93)</f>
        <v>232536033</v>
      </c>
      <c r="C91" s="2">
        <f>+SUM(C92:C93)</f>
        <v>490263405.01999998</v>
      </c>
      <c r="D91" s="2">
        <f>+Supuestos!D19</f>
        <v>973440000</v>
      </c>
      <c r="E91" s="2">
        <f>+Supuestos!E19</f>
        <v>1172620800</v>
      </c>
      <c r="F91" s="2">
        <f>+Supuestos!F19</f>
        <v>1563494400</v>
      </c>
      <c r="G91" s="2">
        <f>+Supuestos!G19</f>
        <v>2029290651.6479998</v>
      </c>
      <c r="H91" s="2">
        <f>+Supuestos!H19</f>
        <v>2601654681.5999999</v>
      </c>
    </row>
    <row r="92" spans="1:8" hidden="1" outlineLevel="1" collapsed="1" x14ac:dyDescent="0.2">
      <c r="A92" s="7" t="s">
        <v>154</v>
      </c>
      <c r="B92" s="2">
        <v>244816033</v>
      </c>
      <c r="C92" s="2">
        <v>509176537.01999998</v>
      </c>
      <c r="D92" s="2"/>
      <c r="E92" s="2"/>
      <c r="F92" s="2"/>
      <c r="G92" s="2"/>
      <c r="H92" s="2"/>
    </row>
    <row r="93" spans="1:8" hidden="1" outlineLevel="1" collapsed="1" x14ac:dyDescent="0.2">
      <c r="A93" s="7" t="s">
        <v>153</v>
      </c>
      <c r="B93" s="2">
        <v>-12280000</v>
      </c>
      <c r="C93" s="2">
        <v>-18913132</v>
      </c>
      <c r="D93" s="2"/>
      <c r="E93" s="2"/>
      <c r="F93" s="2"/>
      <c r="G93" s="2"/>
      <c r="H93" s="2"/>
    </row>
    <row r="94" spans="1:8" collapsed="1" x14ac:dyDescent="0.2">
      <c r="A94" s="5" t="s">
        <v>213</v>
      </c>
      <c r="B94" s="2">
        <f>+B95</f>
        <v>-18537925</v>
      </c>
      <c r="C94" s="2">
        <f>+C95</f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</row>
    <row r="95" spans="1:8" hidden="1" outlineLevel="1" collapsed="1" x14ac:dyDescent="0.2">
      <c r="A95" s="7" t="s">
        <v>214</v>
      </c>
      <c r="B95" s="2">
        <v>-18537925</v>
      </c>
      <c r="C95" s="2">
        <v>0</v>
      </c>
      <c r="D95" s="2"/>
      <c r="E95" s="2"/>
      <c r="F95" s="2"/>
      <c r="G95" s="2"/>
      <c r="H95" s="2"/>
    </row>
    <row r="96" spans="1:8" ht="15" x14ac:dyDescent="0.25">
      <c r="A96" s="6" t="s">
        <v>152</v>
      </c>
      <c r="B96" s="3">
        <f>+SUM(B94,B91)</f>
        <v>213998108</v>
      </c>
      <c r="C96" s="3">
        <f>+SUM(C94,C91)</f>
        <v>490263405.01999998</v>
      </c>
      <c r="D96" s="3">
        <f t="shared" ref="D96:H96" si="26">+SUM(D94,D91)</f>
        <v>973440000</v>
      </c>
      <c r="E96" s="3">
        <f t="shared" si="26"/>
        <v>1172620800</v>
      </c>
      <c r="F96" s="3">
        <f t="shared" si="26"/>
        <v>1563494400</v>
      </c>
      <c r="G96" s="3">
        <f t="shared" si="26"/>
        <v>2029290651.6479998</v>
      </c>
      <c r="H96" s="3">
        <f t="shared" si="26"/>
        <v>2601654681.5999999</v>
      </c>
    </row>
    <row r="97" spans="1:8" x14ac:dyDescent="0.2">
      <c r="A97" s="5" t="s">
        <v>10</v>
      </c>
      <c r="C97" s="2"/>
    </row>
    <row r="98" spans="1:8" collapsed="1" x14ac:dyDescent="0.2">
      <c r="A98" s="5" t="s">
        <v>151</v>
      </c>
      <c r="B98" s="2">
        <f>+SUM(B99:B102)</f>
        <v>10683324.09</v>
      </c>
      <c r="C98" s="2">
        <f>+SUM(C99:C102)</f>
        <v>-3179855.17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</row>
    <row r="99" spans="1:8" hidden="1" outlineLevel="1" collapsed="1" x14ac:dyDescent="0.2">
      <c r="A99" s="7" t="s">
        <v>150</v>
      </c>
      <c r="B99" s="2">
        <v>1352746</v>
      </c>
      <c r="C99" s="2">
        <v>33144.839999999997</v>
      </c>
      <c r="D99" s="2"/>
      <c r="E99" s="2"/>
      <c r="F99" s="2"/>
      <c r="G99" s="2"/>
      <c r="H99" s="2"/>
    </row>
    <row r="100" spans="1:8" hidden="1" outlineLevel="1" x14ac:dyDescent="0.2">
      <c r="A100" s="7" t="s">
        <v>215</v>
      </c>
      <c r="B100" s="2">
        <v>9330574</v>
      </c>
      <c r="C100" s="2">
        <v>0</v>
      </c>
      <c r="D100" s="2"/>
      <c r="E100" s="2"/>
      <c r="F100" s="2"/>
      <c r="G100" s="2"/>
      <c r="H100" s="2"/>
    </row>
    <row r="101" spans="1:8" hidden="1" outlineLevel="1" collapsed="1" x14ac:dyDescent="0.2">
      <c r="A101" s="7" t="s">
        <v>149</v>
      </c>
      <c r="B101" s="2">
        <v>0</v>
      </c>
      <c r="C101" s="2">
        <v>-3213000</v>
      </c>
      <c r="D101" s="2"/>
      <c r="E101" s="2"/>
      <c r="F101" s="2"/>
      <c r="G101" s="2"/>
      <c r="H101" s="2"/>
    </row>
    <row r="102" spans="1:8" hidden="1" outlineLevel="1" collapsed="1" x14ac:dyDescent="0.2">
      <c r="A102" s="7" t="s">
        <v>148</v>
      </c>
      <c r="B102" s="2">
        <v>4.09</v>
      </c>
      <c r="C102" s="2">
        <v>-0.01</v>
      </c>
      <c r="D102" s="2"/>
      <c r="E102" s="2"/>
      <c r="F102" s="2"/>
      <c r="G102" s="2"/>
      <c r="H102" s="2"/>
    </row>
    <row r="103" spans="1:8" collapsed="1" x14ac:dyDescent="0.2">
      <c r="A103" s="5" t="s">
        <v>147</v>
      </c>
      <c r="B103" s="2">
        <f>+SUM(B104:B107)</f>
        <v>-107972212</v>
      </c>
      <c r="C103" s="2">
        <f>+SUM(C104:C107)</f>
        <v>-319238369.14999998</v>
      </c>
      <c r="D103" s="2">
        <f>+C103-(Supuestos!B57*Supuestos!B54*6)</f>
        <v>-346384769.14999998</v>
      </c>
      <c r="E103" s="2">
        <f>+D103*(1-Supuestos!C59)-(Supuestos!C57*Supuestos!C54*6)</f>
        <v>-418164149.12259996</v>
      </c>
      <c r="F103" s="2">
        <f>+E103*(1-Supuestos!D59)-(Supuestos!D57*Supuestos!D54*6)</f>
        <v>-573137313.56784236</v>
      </c>
      <c r="G103" s="2">
        <f>+F103*(1-Supuestos!E59)-(Supuestos!E57*Supuestos!E54*6)</f>
        <v>-848280355.7052393</v>
      </c>
      <c r="H103" s="2">
        <f>+G103*(1-Supuestos!F59)-(Supuestos!F57*Supuestos!F54*6)</f>
        <v>-1308329367.1045229</v>
      </c>
    </row>
    <row r="104" spans="1:8" hidden="1" outlineLevel="1" collapsed="1" x14ac:dyDescent="0.2">
      <c r="A104" s="7" t="s">
        <v>146</v>
      </c>
      <c r="B104" s="2">
        <v>-10583180</v>
      </c>
      <c r="C104" s="2">
        <v>-5620374.46</v>
      </c>
      <c r="D104" s="2"/>
      <c r="E104" s="2"/>
      <c r="F104" s="2"/>
      <c r="G104" s="2"/>
      <c r="H104" s="2"/>
    </row>
    <row r="105" spans="1:8" hidden="1" outlineLevel="1" collapsed="1" x14ac:dyDescent="0.2">
      <c r="A105" s="7" t="s">
        <v>145</v>
      </c>
      <c r="B105" s="2">
        <v>0</v>
      </c>
      <c r="C105" s="2">
        <v>-25000</v>
      </c>
      <c r="D105" s="2"/>
      <c r="E105" s="2"/>
      <c r="F105" s="2"/>
      <c r="G105" s="2"/>
      <c r="H105" s="2"/>
    </row>
    <row r="106" spans="1:8" hidden="1" outlineLevel="1" collapsed="1" x14ac:dyDescent="0.2">
      <c r="A106" s="7" t="s">
        <v>144</v>
      </c>
      <c r="B106" s="2">
        <v>-62664923</v>
      </c>
      <c r="C106" s="2">
        <v>-280997450.44</v>
      </c>
      <c r="D106" s="2"/>
      <c r="E106" s="2"/>
      <c r="F106" s="2"/>
      <c r="G106" s="2"/>
      <c r="H106" s="2"/>
    </row>
    <row r="107" spans="1:8" hidden="1" outlineLevel="1" collapsed="1" x14ac:dyDescent="0.2">
      <c r="A107" s="7" t="s">
        <v>143</v>
      </c>
      <c r="B107" s="2">
        <v>-34724109</v>
      </c>
      <c r="C107" s="2">
        <v>-32595544.25</v>
      </c>
      <c r="D107" s="2"/>
      <c r="E107" s="2"/>
      <c r="F107" s="2"/>
      <c r="G107" s="2"/>
      <c r="H107" s="2"/>
    </row>
    <row r="108" spans="1:8" collapsed="1" x14ac:dyDescent="0.2">
      <c r="A108" s="5" t="s">
        <v>142</v>
      </c>
      <c r="B108" s="2">
        <f>+SUM(B109:B121)</f>
        <v>-8556215.6800000016</v>
      </c>
      <c r="C108" s="2">
        <f>+SUM(C109:C121)</f>
        <v>-39580914.480000004</v>
      </c>
      <c r="D108" s="2">
        <f>+C108</f>
        <v>-39580914.480000004</v>
      </c>
      <c r="E108" s="2">
        <f>+D108*(1+Supuestos!C59)</f>
        <v>-41322474.717120007</v>
      </c>
      <c r="F108" s="2">
        <f>+E108*(1+Supuestos!D59)</f>
        <v>-41322474.717120007</v>
      </c>
      <c r="G108" s="2">
        <f>+F108*(1+Supuestos!E59)</f>
        <v>-42975373.70580481</v>
      </c>
      <c r="H108" s="2">
        <f>+G108*(1+Supuestos!F59)</f>
        <v>-42975373.70580481</v>
      </c>
    </row>
    <row r="109" spans="1:8" hidden="1" outlineLevel="1" collapsed="1" x14ac:dyDescent="0.2">
      <c r="A109" s="7" t="s">
        <v>141</v>
      </c>
      <c r="B109" s="2">
        <v>-5213333.33</v>
      </c>
      <c r="C109" s="2">
        <v>-26906666.670000002</v>
      </c>
      <c r="D109" s="2">
        <f t="shared" ref="D109:D121" si="27">+C109</f>
        <v>-26906666.670000002</v>
      </c>
      <c r="E109" s="2"/>
      <c r="F109" s="2"/>
      <c r="G109" s="2"/>
      <c r="H109" s="2"/>
    </row>
    <row r="110" spans="1:8" hidden="1" outlineLevel="1" collapsed="1" x14ac:dyDescent="0.2">
      <c r="A110" s="7" t="s">
        <v>140</v>
      </c>
      <c r="B110" s="2">
        <v>-543676.53</v>
      </c>
      <c r="C110" s="2">
        <v>-567000</v>
      </c>
      <c r="D110" s="2">
        <f t="shared" si="27"/>
        <v>-567000</v>
      </c>
      <c r="E110" s="2"/>
      <c r="F110" s="2"/>
      <c r="G110" s="2"/>
      <c r="H110" s="2"/>
    </row>
    <row r="111" spans="1:8" hidden="1" outlineLevel="1" collapsed="1" x14ac:dyDescent="0.2">
      <c r="A111" s="7" t="s">
        <v>139</v>
      </c>
      <c r="B111" s="2">
        <v>-479557.96</v>
      </c>
      <c r="C111" s="2">
        <v>-2308798.33</v>
      </c>
      <c r="D111" s="2">
        <f t="shared" si="27"/>
        <v>-2308798.33</v>
      </c>
      <c r="E111" s="2"/>
      <c r="F111" s="2"/>
      <c r="G111" s="2"/>
      <c r="H111" s="2"/>
    </row>
    <row r="112" spans="1:8" hidden="1" outlineLevel="1" collapsed="1" x14ac:dyDescent="0.2">
      <c r="A112" s="7" t="s">
        <v>138</v>
      </c>
      <c r="B112" s="2">
        <v>-57547.360000000001</v>
      </c>
      <c r="C112" s="2">
        <v>-277055.81</v>
      </c>
      <c r="D112" s="2">
        <f t="shared" si="27"/>
        <v>-277055.81</v>
      </c>
      <c r="E112" s="2"/>
      <c r="F112" s="2"/>
      <c r="G112" s="2"/>
      <c r="H112" s="2"/>
    </row>
    <row r="113" spans="1:8" hidden="1" outlineLevel="1" collapsed="1" x14ac:dyDescent="0.2">
      <c r="A113" s="7" t="s">
        <v>137</v>
      </c>
      <c r="B113" s="2">
        <v>-479557.96</v>
      </c>
      <c r="C113" s="2">
        <v>-2308798.33</v>
      </c>
      <c r="D113" s="2">
        <f t="shared" si="27"/>
        <v>-2308798.33</v>
      </c>
      <c r="E113" s="2"/>
      <c r="F113" s="2"/>
      <c r="G113" s="2"/>
      <c r="H113" s="2"/>
    </row>
    <row r="114" spans="1:8" hidden="1" outlineLevel="1" collapsed="1" x14ac:dyDescent="0.2">
      <c r="A114" s="7" t="s">
        <v>136</v>
      </c>
      <c r="B114" s="2">
        <v>-217396</v>
      </c>
      <c r="C114" s="2">
        <v>-1122008</v>
      </c>
      <c r="D114" s="2">
        <f t="shared" si="27"/>
        <v>-1122008</v>
      </c>
      <c r="E114" s="2"/>
      <c r="F114" s="2"/>
      <c r="G114" s="2"/>
      <c r="H114" s="2"/>
    </row>
    <row r="115" spans="1:8" hidden="1" outlineLevel="1" collapsed="1" x14ac:dyDescent="0.2">
      <c r="A115" s="7" t="s">
        <v>135</v>
      </c>
      <c r="B115" s="2">
        <v>-27213.200000000001</v>
      </c>
      <c r="C115" s="2">
        <v>-994975</v>
      </c>
      <c r="D115" s="2">
        <f t="shared" si="27"/>
        <v>-994975</v>
      </c>
      <c r="E115" s="2"/>
      <c r="F115" s="2"/>
      <c r="G115" s="2"/>
      <c r="H115" s="2"/>
    </row>
    <row r="116" spans="1:8" hidden="1" outlineLevel="1" collapsed="1" x14ac:dyDescent="0.2">
      <c r="A116" s="7" t="s">
        <v>134</v>
      </c>
      <c r="B116" s="2">
        <v>-443133.34</v>
      </c>
      <c r="C116" s="2">
        <v>-450600</v>
      </c>
      <c r="D116" s="2">
        <f t="shared" si="27"/>
        <v>-450600</v>
      </c>
      <c r="E116" s="2"/>
      <c r="F116" s="2"/>
      <c r="G116" s="2"/>
      <c r="H116" s="2"/>
    </row>
    <row r="117" spans="1:8" hidden="1" outlineLevel="1" collapsed="1" x14ac:dyDescent="0.2">
      <c r="A117" s="7" t="s">
        <v>133</v>
      </c>
      <c r="B117" s="2">
        <v>-625600</v>
      </c>
      <c r="C117" s="2">
        <v>-3156066.67</v>
      </c>
      <c r="D117" s="2">
        <f t="shared" si="27"/>
        <v>-3156066.67</v>
      </c>
      <c r="E117" s="2"/>
      <c r="F117" s="2"/>
      <c r="G117" s="2"/>
      <c r="H117" s="2"/>
    </row>
    <row r="118" spans="1:8" hidden="1" outlineLevel="1" collapsed="1" x14ac:dyDescent="0.2">
      <c r="A118" s="7" t="s">
        <v>132</v>
      </c>
      <c r="B118" s="2">
        <v>-208533.33</v>
      </c>
      <c r="C118" s="2">
        <v>-1076366.67</v>
      </c>
      <c r="D118" s="2">
        <f t="shared" si="27"/>
        <v>-1076366.67</v>
      </c>
      <c r="E118" s="2"/>
      <c r="F118" s="2"/>
      <c r="G118" s="2"/>
      <c r="H118" s="2"/>
    </row>
    <row r="119" spans="1:8" hidden="1" outlineLevel="1" collapsed="1" x14ac:dyDescent="0.2">
      <c r="A119" s="7" t="s">
        <v>131</v>
      </c>
      <c r="B119" s="2">
        <v>-156400</v>
      </c>
      <c r="C119" s="2">
        <v>-159000</v>
      </c>
      <c r="D119" s="2">
        <f t="shared" si="27"/>
        <v>-159000</v>
      </c>
      <c r="E119" s="2"/>
      <c r="F119" s="2"/>
      <c r="G119" s="2"/>
      <c r="H119" s="2"/>
    </row>
    <row r="120" spans="1:8" hidden="1" outlineLevel="1" collapsed="1" x14ac:dyDescent="0.2">
      <c r="A120" s="7" t="s">
        <v>130</v>
      </c>
      <c r="B120" s="2">
        <v>-104266.67</v>
      </c>
      <c r="C120" s="2">
        <v>-106000</v>
      </c>
      <c r="D120" s="2">
        <f t="shared" si="27"/>
        <v>-106000</v>
      </c>
      <c r="E120" s="2"/>
      <c r="F120" s="2"/>
      <c r="G120" s="2"/>
      <c r="H120" s="2"/>
    </row>
    <row r="121" spans="1:8" hidden="1" outlineLevel="1" collapsed="1" x14ac:dyDescent="0.2">
      <c r="A121" s="7" t="s">
        <v>129</v>
      </c>
      <c r="B121" s="2">
        <v>0</v>
      </c>
      <c r="C121" s="2">
        <v>-147579</v>
      </c>
      <c r="D121" s="2">
        <f t="shared" si="27"/>
        <v>-147579</v>
      </c>
      <c r="E121" s="2"/>
      <c r="F121" s="2"/>
      <c r="G121" s="2"/>
      <c r="H121" s="2"/>
    </row>
    <row r="122" spans="1:8" collapsed="1" x14ac:dyDescent="0.2">
      <c r="A122" s="5" t="s">
        <v>128</v>
      </c>
      <c r="B122" s="2">
        <f>+SUM(B123:B153)</f>
        <v>-93566592.530000001</v>
      </c>
      <c r="C122" s="2">
        <f>+SUM(C123:C153)</f>
        <v>-112067666.99829999</v>
      </c>
      <c r="D122" s="2">
        <f>+SUM(D123:D154)</f>
        <v>-204195645.51273245</v>
      </c>
      <c r="E122" s="2">
        <f t="shared" ref="E122:H122" si="28">+SUM(E123:E154)</f>
        <v>-187542623.20159936</v>
      </c>
      <c r="F122" s="2">
        <f t="shared" si="28"/>
        <v>-270491355.39703453</v>
      </c>
      <c r="G122" s="2">
        <f t="shared" si="28"/>
        <v>-306540344.11028111</v>
      </c>
      <c r="H122" s="2">
        <f t="shared" si="28"/>
        <v>-438701546.87420368</v>
      </c>
    </row>
    <row r="123" spans="1:8" hidden="1" outlineLevel="1" collapsed="1" x14ac:dyDescent="0.2">
      <c r="A123" s="7" t="s">
        <v>127</v>
      </c>
      <c r="B123" s="2">
        <v>0</v>
      </c>
      <c r="C123" s="2">
        <v>-150000</v>
      </c>
      <c r="D123" s="2">
        <f>+C123</f>
        <v>-150000</v>
      </c>
      <c r="E123" s="2">
        <f>+D123*(1+Supuestos!C59)</f>
        <v>-156600</v>
      </c>
      <c r="F123" s="2">
        <f>+E123*(1+Supuestos!D59)</f>
        <v>-156600</v>
      </c>
      <c r="G123" s="2">
        <f>+F123*(1+Supuestos!E59)</f>
        <v>-162864</v>
      </c>
      <c r="H123" s="2">
        <f>+G123*(1+Supuestos!F59)</f>
        <v>-162864</v>
      </c>
    </row>
    <row r="124" spans="1:8" hidden="1" outlineLevel="1" collapsed="1" x14ac:dyDescent="0.2">
      <c r="A124" s="7" t="s">
        <v>126</v>
      </c>
      <c r="B124" s="2">
        <v>-1150000</v>
      </c>
      <c r="C124" s="2">
        <v>-4465846.6100000003</v>
      </c>
      <c r="D124" s="2">
        <f t="shared" ref="D124:D132" si="29">+C124</f>
        <v>-4465846.6100000003</v>
      </c>
      <c r="E124" s="2"/>
      <c r="F124" s="2"/>
      <c r="G124" s="2"/>
      <c r="H124" s="2"/>
    </row>
    <row r="125" spans="1:8" hidden="1" outlineLevel="1" collapsed="1" x14ac:dyDescent="0.2">
      <c r="A125" s="7" t="s">
        <v>125</v>
      </c>
      <c r="B125" s="2">
        <v>0</v>
      </c>
      <c r="C125" s="2">
        <v>-2707991.48</v>
      </c>
      <c r="D125" s="2">
        <f t="shared" si="29"/>
        <v>-2707991.48</v>
      </c>
      <c r="E125" s="2"/>
      <c r="F125" s="2"/>
      <c r="G125" s="2"/>
      <c r="H125" s="2"/>
    </row>
    <row r="126" spans="1:8" hidden="1" outlineLevel="1" collapsed="1" x14ac:dyDescent="0.2">
      <c r="A126" s="7" t="s">
        <v>124</v>
      </c>
      <c r="B126" s="2">
        <v>-522538</v>
      </c>
      <c r="C126" s="2">
        <v>-2850078.32</v>
      </c>
      <c r="D126" s="2">
        <f t="shared" si="29"/>
        <v>-2850078.32</v>
      </c>
    </row>
    <row r="127" spans="1:8" hidden="1" outlineLevel="1" collapsed="1" x14ac:dyDescent="0.2">
      <c r="A127" s="7" t="s">
        <v>123</v>
      </c>
      <c r="B127" s="2">
        <v>0</v>
      </c>
      <c r="C127" s="2">
        <v>-1024228</v>
      </c>
      <c r="D127" s="2">
        <f t="shared" si="29"/>
        <v>-1024228</v>
      </c>
      <c r="E127" s="2"/>
      <c r="F127" s="2"/>
      <c r="G127" s="2"/>
      <c r="H127" s="2"/>
    </row>
    <row r="128" spans="1:8" hidden="1" outlineLevel="1" collapsed="1" x14ac:dyDescent="0.2">
      <c r="A128" s="7" t="s">
        <v>122</v>
      </c>
      <c r="B128" s="2">
        <v>0</v>
      </c>
      <c r="C128" s="2">
        <v>-100000</v>
      </c>
      <c r="D128" s="2">
        <f t="shared" si="29"/>
        <v>-100000</v>
      </c>
      <c r="E128" s="2"/>
      <c r="F128" s="2"/>
      <c r="G128" s="2"/>
      <c r="H128" s="2"/>
    </row>
    <row r="129" spans="1:8" hidden="1" outlineLevel="1" collapsed="1" x14ac:dyDescent="0.2">
      <c r="A129" s="7" t="s">
        <v>121</v>
      </c>
      <c r="B129" s="2">
        <v>-5241306</v>
      </c>
      <c r="C129" s="2">
        <v>-8348241</v>
      </c>
      <c r="D129" s="2">
        <f t="shared" si="29"/>
        <v>-8348241</v>
      </c>
    </row>
    <row r="130" spans="1:8" hidden="1" outlineLevel="1" collapsed="1" x14ac:dyDescent="0.2">
      <c r="A130" s="7" t="s">
        <v>120</v>
      </c>
      <c r="B130" s="2">
        <v>0</v>
      </c>
      <c r="C130" s="2">
        <v>-57695</v>
      </c>
      <c r="D130" s="2">
        <f t="shared" si="29"/>
        <v>-57695</v>
      </c>
      <c r="E130" s="2"/>
      <c r="F130" s="2"/>
      <c r="G130" s="2"/>
      <c r="H130" s="2"/>
    </row>
    <row r="131" spans="1:8" hidden="1" outlineLevel="1" x14ac:dyDescent="0.2">
      <c r="A131" s="7" t="s">
        <v>216</v>
      </c>
      <c r="B131" s="2">
        <v>-13600</v>
      </c>
      <c r="C131" s="2">
        <v>0</v>
      </c>
      <c r="D131" s="2">
        <f t="shared" si="29"/>
        <v>0</v>
      </c>
      <c r="E131" s="2"/>
      <c r="F131" s="2"/>
      <c r="G131" s="2"/>
      <c r="H131" s="2"/>
    </row>
    <row r="132" spans="1:8" hidden="1" outlineLevel="1" collapsed="1" x14ac:dyDescent="0.2">
      <c r="A132" s="7" t="s">
        <v>119</v>
      </c>
      <c r="B132" s="2">
        <v>-1012200</v>
      </c>
      <c r="C132" s="2">
        <v>-1864756</v>
      </c>
      <c r="D132" s="2">
        <f t="shared" si="29"/>
        <v>-1864756</v>
      </c>
      <c r="E132" s="2"/>
      <c r="F132" s="2"/>
      <c r="G132" s="2"/>
      <c r="H132" s="2"/>
    </row>
    <row r="133" spans="1:8" hidden="1" outlineLevel="1" collapsed="1" x14ac:dyDescent="0.2">
      <c r="A133" s="7" t="s">
        <v>118</v>
      </c>
      <c r="B133" s="2">
        <f>-77491857</f>
        <v>-77491857</v>
      </c>
      <c r="C133" s="2">
        <v>-49586565.920000002</v>
      </c>
      <c r="D133" s="2">
        <f>-D91*Supuestos!$B$48</f>
        <v>98456352.717567563</v>
      </c>
      <c r="E133" s="2">
        <f>-E91*Supuestos!$B$48</f>
        <v>118602037.19670062</v>
      </c>
      <c r="F133" s="2">
        <f>-F91*Supuestos!$B$48</f>
        <v>158136049.59560081</v>
      </c>
      <c r="G133" s="2">
        <f>-G91*Supuestos!$B$48</f>
        <v>205247941.49112219</v>
      </c>
      <c r="H133" s="2">
        <f>-H91*Supuestos!$B$48</f>
        <v>263138386.52707976</v>
      </c>
    </row>
    <row r="134" spans="1:8" s="51" customFormat="1" hidden="1" outlineLevel="1" x14ac:dyDescent="0.2">
      <c r="A134" s="7" t="s">
        <v>303</v>
      </c>
      <c r="B134" s="2">
        <v>-515832</v>
      </c>
      <c r="C134" s="2">
        <f>-(SUM(C24:C25)*7%)</f>
        <v>-32049847.598300003</v>
      </c>
      <c r="D134" s="2">
        <f>-(SUM(D24:D25)*7%)</f>
        <v>-32049847.598300003</v>
      </c>
      <c r="E134" s="2">
        <f t="shared" ref="E134:H134" si="30">-(SUM(E24:E25)*7%)</f>
        <v>-32049847.598300003</v>
      </c>
      <c r="F134" s="2">
        <f t="shared" si="30"/>
        <v>-63219854.592635304</v>
      </c>
      <c r="G134" s="2">
        <f t="shared" si="30"/>
        <v>-63219854.592635304</v>
      </c>
      <c r="H134" s="2">
        <f t="shared" si="30"/>
        <v>-110671348.41568346</v>
      </c>
    </row>
    <row r="135" spans="1:8" hidden="1" outlineLevel="1" collapsed="1" x14ac:dyDescent="0.2">
      <c r="A135" s="7" t="s">
        <v>117</v>
      </c>
      <c r="B135" s="2">
        <v>0</v>
      </c>
      <c r="C135" s="2">
        <v>-55000</v>
      </c>
      <c r="D135" s="2">
        <f>+C135</f>
        <v>-55000</v>
      </c>
      <c r="E135" s="2"/>
      <c r="F135" s="2"/>
      <c r="G135" s="2"/>
      <c r="H135" s="2"/>
    </row>
    <row r="136" spans="1:8" hidden="1" outlineLevel="1" collapsed="1" x14ac:dyDescent="0.2">
      <c r="A136" s="7" t="s">
        <v>116</v>
      </c>
      <c r="B136" s="2">
        <v>0</v>
      </c>
      <c r="C136" s="2">
        <v>-184800</v>
      </c>
      <c r="D136" s="2">
        <f t="shared" ref="D136:D138" si="31">+C136</f>
        <v>-184800</v>
      </c>
      <c r="E136" s="2"/>
      <c r="F136" s="2"/>
      <c r="G136" s="2"/>
      <c r="H136" s="2"/>
    </row>
    <row r="137" spans="1:8" hidden="1" outlineLevel="1" collapsed="1" x14ac:dyDescent="0.2">
      <c r="A137" s="7" t="s">
        <v>115</v>
      </c>
      <c r="B137" s="2">
        <v>0</v>
      </c>
      <c r="C137" s="2">
        <v>-634781.81999999995</v>
      </c>
      <c r="D137" s="2">
        <f t="shared" si="31"/>
        <v>-634781.81999999995</v>
      </c>
      <c r="E137" s="2"/>
      <c r="F137" s="2"/>
      <c r="G137" s="2"/>
      <c r="H137" s="2"/>
    </row>
    <row r="138" spans="1:8" hidden="1" outlineLevel="1" collapsed="1" x14ac:dyDescent="0.2">
      <c r="A138" s="7" t="s">
        <v>114</v>
      </c>
      <c r="B138" s="2">
        <v>-47646</v>
      </c>
      <c r="C138" s="2">
        <v>-115379.02</v>
      </c>
      <c r="D138" s="2">
        <f t="shared" si="31"/>
        <v>-115379.02</v>
      </c>
      <c r="E138" s="2"/>
      <c r="F138" s="2"/>
      <c r="G138" s="2"/>
      <c r="H138" s="2"/>
    </row>
    <row r="139" spans="1:8" hidden="1" outlineLevel="1" collapsed="1" x14ac:dyDescent="0.2">
      <c r="A139" s="7" t="s">
        <v>113</v>
      </c>
      <c r="B139" s="2">
        <v>0</v>
      </c>
      <c r="C139" s="2">
        <v>-369997</v>
      </c>
      <c r="D139" s="2">
        <f>-D91*Supuestos!$B$76</f>
        <v>-64247040</v>
      </c>
      <c r="E139" s="2">
        <f>-E91*Supuestos!$B$76</f>
        <v>-77392972.799999997</v>
      </c>
      <c r="F139" s="2">
        <f>-F91*Supuestos!$B$76</f>
        <v>-103190630.40000001</v>
      </c>
      <c r="G139" s="2">
        <f>-G91*Supuestos!$B$76</f>
        <v>-133933183.00876799</v>
      </c>
      <c r="H139" s="2">
        <f>-H91*Supuestos!$B$76</f>
        <v>-171709208.98559999</v>
      </c>
    </row>
    <row r="140" spans="1:8" hidden="1" outlineLevel="1" x14ac:dyDescent="0.2">
      <c r="A140" s="7" t="s">
        <v>217</v>
      </c>
      <c r="B140" s="2">
        <v>-30000</v>
      </c>
      <c r="C140" s="2">
        <v>0</v>
      </c>
      <c r="D140" s="2">
        <f>+C140</f>
        <v>0</v>
      </c>
      <c r="E140" s="2"/>
      <c r="F140" s="2"/>
      <c r="G140" s="2"/>
      <c r="H140" s="2"/>
    </row>
    <row r="141" spans="1:8" hidden="1" outlineLevel="1" collapsed="1" x14ac:dyDescent="0.2">
      <c r="A141" s="7" t="s">
        <v>112</v>
      </c>
      <c r="B141" s="2">
        <v>0</v>
      </c>
      <c r="C141" s="2">
        <v>-19748</v>
      </c>
      <c r="D141" s="2">
        <f t="shared" ref="D141:D145" si="32">+C141</f>
        <v>-19748</v>
      </c>
      <c r="E141" s="2"/>
      <c r="F141" s="2"/>
      <c r="G141" s="2"/>
      <c r="H141" s="2"/>
    </row>
    <row r="142" spans="1:8" hidden="1" outlineLevel="1" collapsed="1" x14ac:dyDescent="0.2">
      <c r="A142" s="7" t="s">
        <v>111</v>
      </c>
      <c r="B142" s="2">
        <v>-63959</v>
      </c>
      <c r="C142" s="2">
        <v>-3960677.67</v>
      </c>
      <c r="D142" s="2">
        <f t="shared" si="32"/>
        <v>-3960677.67</v>
      </c>
      <c r="E142" s="2"/>
      <c r="F142" s="2"/>
      <c r="G142" s="2"/>
      <c r="H142" s="2"/>
    </row>
    <row r="143" spans="1:8" hidden="1" outlineLevel="1" collapsed="1" x14ac:dyDescent="0.2">
      <c r="A143" s="7" t="s">
        <v>110</v>
      </c>
      <c r="B143" s="2">
        <v>0</v>
      </c>
      <c r="C143" s="2">
        <v>-300499.20000000001</v>
      </c>
      <c r="D143" s="2">
        <f t="shared" si="32"/>
        <v>-300499.20000000001</v>
      </c>
      <c r="E143" s="2"/>
      <c r="F143" s="2"/>
      <c r="G143" s="2"/>
      <c r="H143" s="2"/>
    </row>
    <row r="144" spans="1:8" hidden="1" outlineLevel="1" collapsed="1" x14ac:dyDescent="0.2">
      <c r="A144" s="7" t="s">
        <v>109</v>
      </c>
      <c r="B144" s="2">
        <v>-983567.53</v>
      </c>
      <c r="C144" s="2">
        <v>-1681255.36</v>
      </c>
      <c r="D144" s="2">
        <f t="shared" si="32"/>
        <v>-1681255.36</v>
      </c>
      <c r="E144" s="2"/>
      <c r="F144" s="2"/>
      <c r="G144" s="2"/>
      <c r="H144" s="2"/>
    </row>
    <row r="145" spans="1:8" hidden="1" outlineLevel="1" x14ac:dyDescent="0.2">
      <c r="A145" s="7" t="s">
        <v>218</v>
      </c>
      <c r="B145" s="2">
        <v>-6494087</v>
      </c>
      <c r="C145" s="2">
        <v>0</v>
      </c>
      <c r="D145" s="2">
        <f t="shared" si="32"/>
        <v>0</v>
      </c>
      <c r="E145" s="2"/>
      <c r="F145" s="2"/>
      <c r="G145" s="2"/>
      <c r="H145" s="2"/>
    </row>
    <row r="146" spans="1:8" hidden="1" outlineLevel="1" collapsed="1" x14ac:dyDescent="0.2">
      <c r="A146" s="7" t="s">
        <v>108</v>
      </c>
      <c r="B146" s="2">
        <v>0</v>
      </c>
      <c r="C146" s="2">
        <v>-1083333.33</v>
      </c>
      <c r="D146" s="2">
        <f>-Supuestos!B63*(Supuestos!$B$90*(1+Supuestos!C59))*6</f>
        <v>-177834133.15200001</v>
      </c>
      <c r="E146" s="2">
        <f>-Supuestos!C63*Supuestos!$B$90*6</f>
        <v>-196545240</v>
      </c>
      <c r="F146" s="2">
        <f>-Supuestos!D63*Supuestos!$B$90*6</f>
        <v>-262060320</v>
      </c>
      <c r="G146" s="2">
        <f>-Supuestos!E63*Supuestos!$B$90*6</f>
        <v>-314472384</v>
      </c>
      <c r="H146" s="2">
        <f>-Supuestos!F63*Supuestos!$B$90*6</f>
        <v>-419296512</v>
      </c>
    </row>
    <row r="147" spans="1:8" hidden="1" outlineLevel="1" collapsed="1" x14ac:dyDescent="0.2">
      <c r="A147" s="7" t="s">
        <v>107</v>
      </c>
      <c r="B147" s="2">
        <v>0</v>
      </c>
      <c r="C147" s="2">
        <v>-90241.67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</row>
    <row r="148" spans="1:8" hidden="1" outlineLevel="1" collapsed="1" x14ac:dyDescent="0.2">
      <c r="A148" s="7" t="s">
        <v>106</v>
      </c>
      <c r="B148" s="2">
        <v>0</v>
      </c>
      <c r="C148" s="2">
        <v>-10829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</row>
    <row r="149" spans="1:8" hidden="1" outlineLevel="1" collapsed="1" x14ac:dyDescent="0.2">
      <c r="A149" s="7" t="s">
        <v>105</v>
      </c>
      <c r="B149" s="2">
        <v>0</v>
      </c>
      <c r="C149" s="2">
        <v>-90241.67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</row>
    <row r="150" spans="1:8" hidden="1" outlineLevel="1" collapsed="1" x14ac:dyDescent="0.2">
      <c r="A150" s="7" t="s">
        <v>104</v>
      </c>
      <c r="B150" s="2">
        <v>0</v>
      </c>
      <c r="C150" s="2">
        <v>-45175</v>
      </c>
      <c r="D150" s="2">
        <v>0</v>
      </c>
      <c r="E150" s="2">
        <v>0</v>
      </c>
      <c r="F150" s="2">
        <v>0</v>
      </c>
      <c r="G150" s="2">
        <v>0</v>
      </c>
      <c r="H150" s="2">
        <v>0</v>
      </c>
    </row>
    <row r="151" spans="1:8" hidden="1" outlineLevel="1" collapsed="1" x14ac:dyDescent="0.2">
      <c r="A151" s="7" t="s">
        <v>103</v>
      </c>
      <c r="B151" s="2">
        <v>0</v>
      </c>
      <c r="C151" s="2">
        <v>-47125</v>
      </c>
      <c r="D151" s="2">
        <v>0</v>
      </c>
      <c r="E151" s="2">
        <v>0</v>
      </c>
      <c r="F151" s="2">
        <v>0</v>
      </c>
      <c r="G151" s="2">
        <v>0</v>
      </c>
      <c r="H151" s="2">
        <v>0</v>
      </c>
    </row>
    <row r="152" spans="1:8" hidden="1" outlineLevel="1" collapsed="1" x14ac:dyDescent="0.2">
      <c r="A152" s="7" t="s">
        <v>102</v>
      </c>
      <c r="B152" s="2">
        <v>0</v>
      </c>
      <c r="C152" s="2">
        <v>-130000</v>
      </c>
      <c r="D152" s="2">
        <v>0</v>
      </c>
      <c r="E152" s="2">
        <v>0</v>
      </c>
      <c r="F152" s="2">
        <v>0</v>
      </c>
      <c r="G152" s="2">
        <v>0</v>
      </c>
      <c r="H152" s="2">
        <v>0</v>
      </c>
    </row>
    <row r="153" spans="1:8" hidden="1" outlineLevel="1" collapsed="1" x14ac:dyDescent="0.2">
      <c r="A153" s="7" t="s">
        <v>101</v>
      </c>
      <c r="B153" s="2">
        <v>0</v>
      </c>
      <c r="C153" s="2">
        <v>-43333.33</v>
      </c>
      <c r="D153" s="2">
        <v>0</v>
      </c>
      <c r="E153" s="2">
        <v>0</v>
      </c>
      <c r="F153" s="2">
        <v>0</v>
      </c>
      <c r="G153" s="2">
        <v>0</v>
      </c>
      <c r="H153" s="2">
        <v>0</v>
      </c>
    </row>
    <row r="154" spans="1:8" hidden="1" outlineLevel="1" x14ac:dyDescent="0.2">
      <c r="A154" s="38" t="s">
        <v>249</v>
      </c>
      <c r="B154" s="2">
        <v>0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0</v>
      </c>
    </row>
    <row r="155" spans="1:8" s="51" customFormat="1" hidden="1" outlineLevel="1" x14ac:dyDescent="0.2">
      <c r="A155" s="38"/>
      <c r="B155" s="2"/>
      <c r="C155" s="2"/>
      <c r="D155" s="2"/>
      <c r="E155" s="2"/>
      <c r="F155" s="2"/>
      <c r="G155" s="2"/>
      <c r="H155" s="2"/>
    </row>
    <row r="156" spans="1:8" ht="15" x14ac:dyDescent="0.25">
      <c r="A156" s="6" t="s">
        <v>100</v>
      </c>
      <c r="B156" s="3">
        <f t="shared" ref="B156:H156" si="33">+B96+B98+B103+B108+B122</f>
        <v>14586411.879999995</v>
      </c>
      <c r="C156" s="3">
        <f t="shared" si="33"/>
        <v>16196599.221699998</v>
      </c>
      <c r="D156" s="3">
        <f t="shared" si="33"/>
        <v>383278670.85726756</v>
      </c>
      <c r="E156" s="3">
        <f t="shared" si="33"/>
        <v>525591552.95868063</v>
      </c>
      <c r="F156" s="3">
        <f t="shared" si="33"/>
        <v>678543256.31800306</v>
      </c>
      <c r="G156" s="3">
        <f t="shared" si="33"/>
        <v>831494578.12667453</v>
      </c>
      <c r="H156" s="3">
        <f t="shared" si="33"/>
        <v>811648393.91546845</v>
      </c>
    </row>
    <row r="157" spans="1:8" x14ac:dyDescent="0.2">
      <c r="A157" s="5" t="s">
        <v>10</v>
      </c>
      <c r="C157" s="2"/>
    </row>
    <row r="158" spans="1:8" collapsed="1" x14ac:dyDescent="0.2">
      <c r="A158" s="5" t="s">
        <v>99</v>
      </c>
      <c r="B158" s="2">
        <f>+B159</f>
        <v>29220.38</v>
      </c>
      <c r="C158" s="2">
        <f>+C159</f>
        <v>5687.49</v>
      </c>
      <c r="D158" s="2">
        <v>0</v>
      </c>
      <c r="E158" s="2">
        <v>0</v>
      </c>
      <c r="F158" s="2">
        <v>0</v>
      </c>
      <c r="G158" s="2">
        <f>-SUM(Supuestos!C110:C115)</f>
        <v>-52231316.186991729</v>
      </c>
      <c r="H158" s="2">
        <f>-SUM(Supuestos!C116:C121)</f>
        <v>-49124126.769095547</v>
      </c>
    </row>
    <row r="159" spans="1:8" hidden="1" outlineLevel="1" collapsed="1" x14ac:dyDescent="0.2">
      <c r="A159" s="7" t="s">
        <v>98</v>
      </c>
      <c r="B159" s="2">
        <v>29220.38</v>
      </c>
      <c r="C159" s="2">
        <v>5687.49</v>
      </c>
      <c r="G159" s="2"/>
      <c r="H159" s="2"/>
    </row>
    <row r="160" spans="1:8" ht="15" x14ac:dyDescent="0.25">
      <c r="A160" s="6" t="s">
        <v>97</v>
      </c>
      <c r="B160" s="3">
        <f>+B156+B158</f>
        <v>14615632.259999996</v>
      </c>
      <c r="C160" s="3">
        <f>+C156+C158</f>
        <v>16202286.711699998</v>
      </c>
      <c r="D160" s="3">
        <f t="shared" ref="D160:H160" si="34">+D156+D158</f>
        <v>383278670.85726756</v>
      </c>
      <c r="E160" s="3">
        <f t="shared" si="34"/>
        <v>525591552.95868063</v>
      </c>
      <c r="F160" s="3">
        <f t="shared" si="34"/>
        <v>678543256.31800306</v>
      </c>
      <c r="G160" s="3">
        <f t="shared" si="34"/>
        <v>779263261.93968284</v>
      </c>
      <c r="H160" s="3">
        <f t="shared" si="34"/>
        <v>762524267.14637291</v>
      </c>
    </row>
    <row r="161" spans="1:8" x14ac:dyDescent="0.2">
      <c r="A161" s="5" t="s">
        <v>10</v>
      </c>
      <c r="C161" s="2"/>
    </row>
    <row r="162" spans="1:8" collapsed="1" x14ac:dyDescent="0.2">
      <c r="A162" s="5" t="s">
        <v>96</v>
      </c>
      <c r="B162" s="2">
        <f>+B163</f>
        <v>-28800</v>
      </c>
      <c r="C162" s="2">
        <f t="shared" ref="C162" si="35">+C163</f>
        <v>0</v>
      </c>
      <c r="D162" s="2">
        <v>0</v>
      </c>
      <c r="E162" s="2">
        <v>0</v>
      </c>
      <c r="F162" s="2">
        <v>0</v>
      </c>
      <c r="G162" s="2">
        <v>0</v>
      </c>
      <c r="H162" s="2">
        <v>0</v>
      </c>
    </row>
    <row r="163" spans="1:8" hidden="1" outlineLevel="1" collapsed="1" x14ac:dyDescent="0.2">
      <c r="A163" s="7" t="s">
        <v>95</v>
      </c>
      <c r="B163" s="2">
        <v>-28800</v>
      </c>
      <c r="C163" s="2">
        <v>0</v>
      </c>
    </row>
    <row r="164" spans="1:8" ht="15" x14ac:dyDescent="0.25">
      <c r="A164" s="6" t="s">
        <v>94</v>
      </c>
      <c r="B164" s="3">
        <f>+B160+B162</f>
        <v>14586832.259999996</v>
      </c>
      <c r="C164" s="3">
        <f>+C160+C162</f>
        <v>16202286.711699998</v>
      </c>
      <c r="D164" s="3">
        <f t="shared" ref="D164:H164" si="36">+D160+D162</f>
        <v>383278670.85726756</v>
      </c>
      <c r="E164" s="3">
        <f t="shared" si="36"/>
        <v>525591552.95868063</v>
      </c>
      <c r="F164" s="3">
        <f t="shared" si="36"/>
        <v>678543256.31800306</v>
      </c>
      <c r="G164" s="3">
        <f t="shared" si="36"/>
        <v>779263261.93968284</v>
      </c>
      <c r="H164" s="3">
        <f t="shared" si="36"/>
        <v>762524267.14637291</v>
      </c>
    </row>
    <row r="165" spans="1:8" ht="15" x14ac:dyDescent="0.25">
      <c r="A165" s="5" t="s">
        <v>10</v>
      </c>
      <c r="B165" s="3"/>
      <c r="C165" s="3"/>
      <c r="D165" s="3"/>
      <c r="E165" s="3"/>
      <c r="F165" s="3"/>
      <c r="G165" s="3"/>
      <c r="H165" s="3"/>
    </row>
    <row r="166" spans="1:8" s="51" customFormat="1" ht="15" x14ac:dyDescent="0.25">
      <c r="A166" s="66" t="s">
        <v>304</v>
      </c>
      <c r="B166" s="3">
        <f>+B164*Supuestos!$B$9</f>
        <v>5105391.2909999983</v>
      </c>
      <c r="C166" s="3">
        <f>+C164*Supuestos!$B$9</f>
        <v>5670800.349094999</v>
      </c>
      <c r="D166" s="3">
        <f>+D164*Supuestos!$B$9</f>
        <v>134147534.80004364</v>
      </c>
      <c r="E166" s="3">
        <f>+E164*Supuestos!$B$9</f>
        <v>183957043.5355382</v>
      </c>
      <c r="F166" s="3">
        <f>+F164*Supuestos!$B$9</f>
        <v>237490139.71130106</v>
      </c>
      <c r="G166" s="3">
        <f>+G164*Supuestos!$B$9</f>
        <v>272742141.67888898</v>
      </c>
      <c r="H166" s="3">
        <f>+H164*Supuestos!$B$9</f>
        <v>266883493.50123051</v>
      </c>
    </row>
    <row r="167" spans="1:8" ht="15" x14ac:dyDescent="0.25">
      <c r="A167" s="6" t="s">
        <v>93</v>
      </c>
      <c r="B167" s="3">
        <f>+B164-B166</f>
        <v>9481440.9689999968</v>
      </c>
      <c r="C167" s="3">
        <f>+C164-C166</f>
        <v>10531486.362604998</v>
      </c>
      <c r="D167" s="3">
        <f t="shared" ref="D167:H167" si="37">+D164-D166</f>
        <v>249131136.05722392</v>
      </c>
      <c r="E167" s="3">
        <f t="shared" si="37"/>
        <v>341634509.42314243</v>
      </c>
      <c r="F167" s="3">
        <f t="shared" si="37"/>
        <v>441053116.60670197</v>
      </c>
      <c r="G167" s="3">
        <f>+G164-G166</f>
        <v>506521120.26079386</v>
      </c>
      <c r="H167" s="3">
        <f t="shared" si="37"/>
        <v>495640773.64514244</v>
      </c>
    </row>
    <row r="168" spans="1:8" x14ac:dyDescent="0.2">
      <c r="A168" s="5" t="s">
        <v>10</v>
      </c>
      <c r="C168" s="2"/>
    </row>
    <row r="173" spans="1:8" ht="15.75" x14ac:dyDescent="0.2">
      <c r="B173" s="13"/>
      <c r="C173" s="1"/>
      <c r="D173" s="1"/>
      <c r="E173" s="1"/>
      <c r="F173" s="1"/>
      <c r="G173" s="1"/>
      <c r="H173" s="1"/>
    </row>
    <row r="174" spans="1:8" x14ac:dyDescent="0.2">
      <c r="A174" s="33"/>
      <c r="B174" s="2"/>
      <c r="C174" s="2"/>
      <c r="D174" s="2"/>
      <c r="E174" s="2"/>
      <c r="F174" s="2"/>
      <c r="G174" s="2"/>
      <c r="H174" s="2"/>
    </row>
    <row r="175" spans="1:8" x14ac:dyDescent="0.2">
      <c r="A175" s="33"/>
      <c r="B175" s="2"/>
      <c r="C175" s="2"/>
      <c r="D175" s="2"/>
      <c r="E175" s="2"/>
      <c r="F175" s="2"/>
      <c r="G175" s="2"/>
      <c r="H175" s="2"/>
    </row>
    <row r="176" spans="1:8" x14ac:dyDescent="0.2">
      <c r="A176" s="33"/>
      <c r="C176" s="2"/>
      <c r="D176" s="2"/>
      <c r="E176" s="2"/>
      <c r="F176" s="2"/>
      <c r="G176" s="2"/>
      <c r="H176" s="2"/>
    </row>
    <row r="177" spans="1:8" ht="15.75" x14ac:dyDescent="0.2">
      <c r="A177" s="33"/>
      <c r="B177" s="13" t="s">
        <v>8</v>
      </c>
      <c r="C177" s="1" t="s">
        <v>207</v>
      </c>
      <c r="D177" s="1" t="s">
        <v>208</v>
      </c>
      <c r="E177" s="1" t="s">
        <v>209</v>
      </c>
      <c r="F177" s="1" t="s">
        <v>210</v>
      </c>
      <c r="G177" s="1" t="s">
        <v>211</v>
      </c>
      <c r="H177" s="1" t="s">
        <v>212</v>
      </c>
    </row>
    <row r="178" spans="1:8" x14ac:dyDescent="0.2">
      <c r="A178" s="53" t="s">
        <v>309</v>
      </c>
      <c r="B178" s="54"/>
      <c r="C178" s="55">
        <f>+C167</f>
        <v>10531486.362604998</v>
      </c>
      <c r="D178" s="55">
        <f t="shared" ref="D178:H178" si="38">+D167</f>
        <v>249131136.05722392</v>
      </c>
      <c r="E178" s="55">
        <f t="shared" si="38"/>
        <v>341634509.42314243</v>
      </c>
      <c r="F178" s="55">
        <f t="shared" si="38"/>
        <v>441053116.60670197</v>
      </c>
      <c r="G178" s="55">
        <f t="shared" si="38"/>
        <v>506521120.26079386</v>
      </c>
      <c r="H178" s="55">
        <f t="shared" si="38"/>
        <v>495640773.64514244</v>
      </c>
    </row>
    <row r="179" spans="1:8" x14ac:dyDescent="0.2">
      <c r="A179" s="56" t="s">
        <v>289</v>
      </c>
      <c r="B179" s="54"/>
      <c r="C179" s="57">
        <f>-C134</f>
        <v>32049847.598300003</v>
      </c>
      <c r="D179" s="57">
        <f t="shared" ref="D179:H179" si="39">-D134</f>
        <v>32049847.598300003</v>
      </c>
      <c r="E179" s="57">
        <f t="shared" si="39"/>
        <v>32049847.598300003</v>
      </c>
      <c r="F179" s="57">
        <f t="shared" si="39"/>
        <v>63219854.592635304</v>
      </c>
      <c r="G179" s="57">
        <f t="shared" si="39"/>
        <v>63219854.592635304</v>
      </c>
      <c r="H179" s="57">
        <f t="shared" si="39"/>
        <v>110671348.41568346</v>
      </c>
    </row>
    <row r="180" spans="1:8" x14ac:dyDescent="0.2">
      <c r="A180" s="56" t="s">
        <v>290</v>
      </c>
      <c r="B180" s="53"/>
      <c r="C180" s="57">
        <f>-(C9-B9)</f>
        <v>-41264984.819999993</v>
      </c>
      <c r="D180" s="57">
        <f t="shared" ref="D180:H180" si="40">-(D9-C9)</f>
        <v>-7996823.334742792</v>
      </c>
      <c r="E180" s="57">
        <f t="shared" si="40"/>
        <v>-11801916.882431991</v>
      </c>
      <c r="F180" s="57">
        <f t="shared" si="40"/>
        <v>-23160152.679058254</v>
      </c>
      <c r="G180" s="57">
        <f t="shared" si="40"/>
        <v>-27599490.744580135</v>
      </c>
      <c r="H180" s="57">
        <f t="shared" si="40"/>
        <v>-33913874.770998597</v>
      </c>
    </row>
    <row r="181" spans="1:8" x14ac:dyDescent="0.2">
      <c r="A181" s="56" t="s">
        <v>291</v>
      </c>
      <c r="B181" s="57"/>
      <c r="C181" s="57">
        <f>-(C14-B14)</f>
        <v>0</v>
      </c>
      <c r="D181" s="57">
        <f t="shared" ref="D181:H181" si="41">-(D14-C14)</f>
        <v>0</v>
      </c>
      <c r="E181" s="57">
        <f t="shared" si="41"/>
        <v>0</v>
      </c>
      <c r="F181" s="57">
        <f t="shared" si="41"/>
        <v>0</v>
      </c>
      <c r="G181" s="57">
        <f t="shared" si="41"/>
        <v>0</v>
      </c>
      <c r="H181" s="57">
        <f t="shared" si="41"/>
        <v>0</v>
      </c>
    </row>
    <row r="182" spans="1:8" s="51" customFormat="1" x14ac:dyDescent="0.2">
      <c r="A182" s="56" t="s">
        <v>262</v>
      </c>
      <c r="B182" s="57"/>
      <c r="C182" s="57">
        <f>-(C16-B16)</f>
        <v>-1760610.18</v>
      </c>
      <c r="D182" s="57">
        <f t="shared" ref="D182:H182" si="42">-(D16-C16)</f>
        <v>-9771664.0571909752</v>
      </c>
      <c r="E182" s="57">
        <f t="shared" si="42"/>
        <v>-2359680.7285329215</v>
      </c>
      <c r="F182" s="57">
        <f t="shared" si="42"/>
        <v>-4630651.6552412976</v>
      </c>
      <c r="G182" s="57">
        <f t="shared" si="42"/>
        <v>-5518254.964517951</v>
      </c>
      <c r="H182" s="57">
        <f t="shared" si="42"/>
        <v>-6780755.8318029381</v>
      </c>
    </row>
    <row r="183" spans="1:8" s="51" customFormat="1" x14ac:dyDescent="0.2">
      <c r="A183" s="56" t="s">
        <v>305</v>
      </c>
      <c r="B183" s="57"/>
      <c r="C183" s="57">
        <f>-(C27-B27)</f>
        <v>-4902634.05</v>
      </c>
      <c r="D183" s="57">
        <f t="shared" ref="D183:H183" si="43">-(D27-C27)</f>
        <v>-4304279.857190975</v>
      </c>
      <c r="E183" s="57">
        <f t="shared" si="43"/>
        <v>-2359680.7285329215</v>
      </c>
      <c r="F183" s="57">
        <f t="shared" si="43"/>
        <v>-4630651.6552412976</v>
      </c>
      <c r="G183" s="57">
        <f t="shared" si="43"/>
        <v>-5518254.964517951</v>
      </c>
      <c r="H183" s="57">
        <f t="shared" si="43"/>
        <v>-6780755.8318029381</v>
      </c>
    </row>
    <row r="184" spans="1:8" s="51" customFormat="1" x14ac:dyDescent="0.2">
      <c r="A184" s="56" t="s">
        <v>306</v>
      </c>
      <c r="B184" s="57"/>
      <c r="C184" s="57">
        <f>(C44-B44)*-1</f>
        <v>-4328348.020905002</v>
      </c>
      <c r="D184" s="57">
        <f t="shared" ref="D184:H184" si="44">(D44-C44)*-1</f>
        <v>128476734.45094866</v>
      </c>
      <c r="E184" s="57">
        <f t="shared" si="44"/>
        <v>52173643.51770547</v>
      </c>
      <c r="F184" s="57">
        <f t="shared" si="44"/>
        <v>52173274.128446013</v>
      </c>
      <c r="G184" s="57">
        <f t="shared" si="44"/>
        <v>32583479.002552629</v>
      </c>
      <c r="H184" s="57">
        <f t="shared" si="44"/>
        <v>-9038673.6246317327</v>
      </c>
    </row>
    <row r="185" spans="1:8" s="51" customFormat="1" x14ac:dyDescent="0.2">
      <c r="A185" s="56" t="s">
        <v>307</v>
      </c>
      <c r="B185" s="57"/>
      <c r="C185" s="57">
        <f>(C57-B57)*-1</f>
        <v>40499.999999999767</v>
      </c>
      <c r="D185" s="57">
        <f t="shared" ref="D185:H185" si="45">(D57-C57)*-1</f>
        <v>0</v>
      </c>
      <c r="E185" s="57">
        <f t="shared" si="45"/>
        <v>0</v>
      </c>
      <c r="F185" s="57">
        <f t="shared" si="45"/>
        <v>0</v>
      </c>
      <c r="G185" s="57">
        <f t="shared" si="45"/>
        <v>0</v>
      </c>
      <c r="H185" s="57">
        <f t="shared" si="45"/>
        <v>0</v>
      </c>
    </row>
    <row r="186" spans="1:8" s="51" customFormat="1" x14ac:dyDescent="0.2">
      <c r="A186" s="56" t="s">
        <v>308</v>
      </c>
      <c r="B186" s="57"/>
      <c r="C186" s="57">
        <f>(C71-B71)*-1</f>
        <v>85610.880000000005</v>
      </c>
      <c r="D186" s="57">
        <f t="shared" ref="D186:H186" si="46">(D71-C71)*-1</f>
        <v>0</v>
      </c>
      <c r="E186" s="57">
        <f t="shared" si="46"/>
        <v>0</v>
      </c>
      <c r="F186" s="57">
        <f t="shared" si="46"/>
        <v>0</v>
      </c>
      <c r="G186" s="57">
        <f t="shared" si="46"/>
        <v>0</v>
      </c>
      <c r="H186" s="57">
        <f t="shared" si="46"/>
        <v>0</v>
      </c>
    </row>
    <row r="187" spans="1:8" x14ac:dyDescent="0.2">
      <c r="A187" s="58" t="s">
        <v>292</v>
      </c>
      <c r="B187" s="59"/>
      <c r="C187" s="60">
        <f>(C34-B34)*-1</f>
        <v>-16208098.24999997</v>
      </c>
      <c r="D187" s="60">
        <f t="shared" ref="D187:H187" si="47">(D34-C34)*-1</f>
        <v>-190921070.76745415</v>
      </c>
      <c r="E187" s="60">
        <f t="shared" si="47"/>
        <v>15226773.549466342</v>
      </c>
      <c r="F187" s="60">
        <f t="shared" si="47"/>
        <v>32874918.704406321</v>
      </c>
      <c r="G187" s="60">
        <f t="shared" si="47"/>
        <v>58366912.585991591</v>
      </c>
      <c r="H187" s="60">
        <f t="shared" si="47"/>
        <v>97591566.28138563</v>
      </c>
    </row>
    <row r="188" spans="1:8" x14ac:dyDescent="0.2">
      <c r="A188" s="54" t="s">
        <v>293</v>
      </c>
      <c r="B188" s="53"/>
      <c r="C188" s="55">
        <f>SUM(C178:C187)</f>
        <v>-25757230.479999963</v>
      </c>
      <c r="D188" s="55">
        <f>SUM(D178:D187)</f>
        <v>196663880.0898937</v>
      </c>
      <c r="E188" s="55">
        <f>SUM(E178:E187)</f>
        <v>424563495.74911642</v>
      </c>
      <c r="F188" s="55">
        <f t="shared" ref="F188:H188" si="48">SUM(F178:F187)</f>
        <v>556899708.04264879</v>
      </c>
      <c r="G188" s="55">
        <f>SUM(G178:G187)</f>
        <v>622055365.7683574</v>
      </c>
      <c r="H188" s="55">
        <f t="shared" si="48"/>
        <v>647389628.28297532</v>
      </c>
    </row>
    <row r="189" spans="1:8" x14ac:dyDescent="0.2">
      <c r="A189" s="56"/>
      <c r="B189" s="53"/>
      <c r="C189" s="57"/>
      <c r="D189" s="53"/>
      <c r="E189" s="53"/>
      <c r="F189" s="53"/>
      <c r="G189" s="53"/>
      <c r="H189" s="53"/>
    </row>
    <row r="190" spans="1:8" x14ac:dyDescent="0.2">
      <c r="A190" s="61" t="s">
        <v>294</v>
      </c>
      <c r="B190" s="57"/>
      <c r="C190" s="57">
        <f>-(C24-B24)</f>
        <v>0</v>
      </c>
      <c r="D190" s="57">
        <f t="shared" ref="D190:H190" si="49">-(D24-C24)</f>
        <v>0</v>
      </c>
      <c r="E190" s="57">
        <f t="shared" si="49"/>
        <v>0</v>
      </c>
      <c r="F190" s="57">
        <f>-(F24-E24)</f>
        <v>-445285814.20478994</v>
      </c>
      <c r="G190" s="57">
        <f t="shared" si="49"/>
        <v>0</v>
      </c>
      <c r="H190" s="57">
        <f t="shared" si="49"/>
        <v>-677878483.18640232</v>
      </c>
    </row>
    <row r="191" spans="1:8" x14ac:dyDescent="0.2">
      <c r="A191" s="61" t="s">
        <v>295</v>
      </c>
      <c r="B191" s="53"/>
      <c r="C191" s="57">
        <v>0</v>
      </c>
      <c r="D191" s="57">
        <v>0</v>
      </c>
      <c r="E191" s="57">
        <v>0</v>
      </c>
      <c r="F191" s="57">
        <v>0</v>
      </c>
      <c r="G191" s="57">
        <v>0</v>
      </c>
      <c r="H191" s="57">
        <v>0</v>
      </c>
    </row>
    <row r="192" spans="1:8" x14ac:dyDescent="0.2">
      <c r="A192" s="62" t="s">
        <v>296</v>
      </c>
      <c r="B192" s="59"/>
      <c r="C192" s="60">
        <v>0</v>
      </c>
      <c r="D192" s="60">
        <v>0</v>
      </c>
      <c r="E192" s="60">
        <v>0</v>
      </c>
      <c r="F192" s="60">
        <v>0</v>
      </c>
      <c r="G192" s="60">
        <v>0</v>
      </c>
      <c r="H192" s="60">
        <v>0</v>
      </c>
    </row>
    <row r="193" spans="1:8" x14ac:dyDescent="0.2">
      <c r="A193" s="54" t="s">
        <v>297</v>
      </c>
      <c r="B193" s="53"/>
      <c r="C193" s="55">
        <f>SUM(C190:C192)</f>
        <v>0</v>
      </c>
      <c r="D193" s="55">
        <f t="shared" ref="D193:H193" si="50">SUM(D190:D192)</f>
        <v>0</v>
      </c>
      <c r="E193" s="55">
        <f t="shared" si="50"/>
        <v>0</v>
      </c>
      <c r="F193" s="55">
        <f t="shared" si="50"/>
        <v>-445285814.20478994</v>
      </c>
      <c r="G193" s="55">
        <f t="shared" si="50"/>
        <v>0</v>
      </c>
      <c r="H193" s="55">
        <f t="shared" si="50"/>
        <v>-677878483.18640232</v>
      </c>
    </row>
    <row r="194" spans="1:8" x14ac:dyDescent="0.2">
      <c r="A194" s="56"/>
      <c r="B194" s="53"/>
      <c r="C194" s="57"/>
      <c r="D194" s="53"/>
      <c r="E194" s="53"/>
      <c r="F194" s="53"/>
      <c r="G194" s="53"/>
      <c r="H194" s="53"/>
    </row>
    <row r="195" spans="1:8" x14ac:dyDescent="0.2">
      <c r="A195" s="56" t="s">
        <v>298</v>
      </c>
      <c r="B195" s="57"/>
      <c r="C195" s="57">
        <f>+(C67-B67)*-1</f>
        <v>59867764</v>
      </c>
      <c r="D195" s="57">
        <f>+(D67-C67)*-1</f>
        <v>-16282548</v>
      </c>
      <c r="E195" s="57">
        <f t="shared" ref="E195:H195" si="51">+(E67-D67)*-1</f>
        <v>-15521354</v>
      </c>
      <c r="F195" s="57">
        <f t="shared" si="51"/>
        <v>433203266.20478994</v>
      </c>
      <c r="G195" s="57">
        <f t="shared" si="51"/>
        <v>-36711034.327566743</v>
      </c>
      <c r="H195" s="57">
        <f t="shared" si="51"/>
        <v>638060259.44093943</v>
      </c>
    </row>
    <row r="196" spans="1:8" x14ac:dyDescent="0.2">
      <c r="A196" s="56" t="s">
        <v>299</v>
      </c>
      <c r="B196" s="53"/>
      <c r="C196" s="57">
        <v>0</v>
      </c>
      <c r="D196" s="57">
        <v>0</v>
      </c>
      <c r="E196" s="57">
        <v>0</v>
      </c>
      <c r="F196" s="57">
        <v>0</v>
      </c>
      <c r="G196" s="57">
        <v>0</v>
      </c>
      <c r="H196" s="57">
        <v>0</v>
      </c>
    </row>
    <row r="197" spans="1:8" x14ac:dyDescent="0.2">
      <c r="A197" s="58" t="s">
        <v>300</v>
      </c>
      <c r="B197" s="59"/>
      <c r="C197" s="60">
        <v>0</v>
      </c>
      <c r="D197" s="60">
        <v>0</v>
      </c>
      <c r="E197" s="60">
        <v>0</v>
      </c>
      <c r="F197" s="60">
        <v>0</v>
      </c>
      <c r="G197" s="60">
        <v>0</v>
      </c>
      <c r="H197" s="60">
        <v>0</v>
      </c>
    </row>
    <row r="198" spans="1:8" x14ac:dyDescent="0.2">
      <c r="A198" s="54" t="s">
        <v>301</v>
      </c>
      <c r="B198" s="53"/>
      <c r="C198" s="55">
        <f>SUM(C195:C197)</f>
        <v>59867764</v>
      </c>
      <c r="D198" s="55">
        <f>SUM(D195:D197)</f>
        <v>-16282548</v>
      </c>
      <c r="E198" s="55">
        <f t="shared" ref="E198:H198" si="52">SUM(E195:E197)</f>
        <v>-15521354</v>
      </c>
      <c r="F198" s="55">
        <f t="shared" si="52"/>
        <v>433203266.20478994</v>
      </c>
      <c r="G198" s="55">
        <f t="shared" si="52"/>
        <v>-36711034.327566743</v>
      </c>
      <c r="H198" s="55">
        <f t="shared" si="52"/>
        <v>638060259.44093943</v>
      </c>
    </row>
    <row r="199" spans="1:8" x14ac:dyDescent="0.2">
      <c r="A199" s="53"/>
      <c r="B199" s="53"/>
      <c r="C199" s="53"/>
      <c r="D199" s="53"/>
      <c r="E199" s="53"/>
      <c r="F199" s="53"/>
      <c r="G199" s="53"/>
      <c r="H199" s="53"/>
    </row>
    <row r="200" spans="1:8" x14ac:dyDescent="0.2">
      <c r="A200" s="63" t="s">
        <v>302</v>
      </c>
      <c r="B200" s="64"/>
      <c r="C200" s="65">
        <f>C188+C193+C198</f>
        <v>34110533.520000041</v>
      </c>
      <c r="D200" s="65">
        <f>D188+D193+D198</f>
        <v>180381332.0898937</v>
      </c>
      <c r="E200" s="65">
        <f>E188+E193+E198</f>
        <v>409042141.74911642</v>
      </c>
      <c r="F200" s="65">
        <f t="shared" ref="F200:H200" si="53">F188+F193+F198</f>
        <v>544817160.04264879</v>
      </c>
      <c r="G200" s="65">
        <f>G188+G193+G198</f>
        <v>585344331.44079065</v>
      </c>
      <c r="H200" s="65">
        <f t="shared" si="53"/>
        <v>607571404.53751242</v>
      </c>
    </row>
    <row r="202" spans="1:8" x14ac:dyDescent="0.2">
      <c r="C202" s="57"/>
    </row>
    <row r="204" spans="1:8" x14ac:dyDescent="0.2">
      <c r="C204" s="2"/>
    </row>
  </sheetData>
  <autoFilter ref="A2:B2" xr:uid="{00000000-0009-0000-0000-000000000000}"/>
  <mergeCells count="2">
    <mergeCell ref="A89:H89"/>
    <mergeCell ref="A1:H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Balance General AV</vt:lpstr>
      <vt:lpstr>Balance General AH</vt:lpstr>
      <vt:lpstr>Estado Resultados AV</vt:lpstr>
      <vt:lpstr>Indices Financieros 2024</vt:lpstr>
      <vt:lpstr>Supuestos</vt:lpstr>
      <vt:lpstr>Indicadores Proyectados</vt:lpstr>
      <vt:lpstr>Estimación WACC</vt:lpstr>
      <vt:lpstr>Proyecciones EF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</dc:creator>
  <cp:lastModifiedBy>Alejandro</cp:lastModifiedBy>
  <dcterms:created xsi:type="dcterms:W3CDTF">2024-11-26T23:01:00Z</dcterms:created>
  <dcterms:modified xsi:type="dcterms:W3CDTF">2024-12-02T19:05:55Z</dcterms:modified>
</cp:coreProperties>
</file>